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" yWindow="690" windowWidth="22455" windowHeight="18000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57" i="1"/>
  <c r="E57" i="1"/>
  <c r="F58" i="6" l="1"/>
  <c r="D56" i="6"/>
  <c r="F47" i="1" l="1"/>
  <c r="F46" i="1"/>
  <c r="F44" i="1"/>
  <c r="F43" i="1"/>
  <c r="F57" i="1" s="1"/>
  <c r="F42" i="1"/>
  <c r="F41" i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H32" i="1" s="1"/>
  <c r="I29" i="1"/>
  <c r="G30" i="1"/>
  <c r="J30" i="1"/>
  <c r="G31" i="1"/>
  <c r="J31" i="1"/>
  <c r="F32" i="1" l="1"/>
  <c r="E32" i="1"/>
  <c r="G29" i="1"/>
  <c r="J29" i="1"/>
  <c r="J25" i="1"/>
  <c r="G25" i="1"/>
  <c r="I32" i="1"/>
  <c r="J32" i="1" s="1"/>
  <c r="G3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29" i="2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E29" i="2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T13" i="1" s="1"/>
  <c r="S12" i="1"/>
  <c r="S11" i="1"/>
  <c r="S15" i="1"/>
  <c r="T14" i="1" l="1"/>
  <c r="T15" i="1"/>
  <c r="U64" i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<sst xmlns="http://schemas.openxmlformats.org/spreadsheetml/2006/main" count="315" uniqueCount="135">
  <si>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</si>
  <si>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</si>
  <si>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</si>
  <si>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</si>
  <si>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</si>
  <si>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</si>
  <si>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</si>
  <si>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</si>
  <si>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</si>
  <si>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</si>
  <si>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</si>
  <si>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</si>
  <si>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</si>
  <si>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</si>
  <si>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</si>
  <si>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</si>
  <si>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</si>
  <si>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</si>
  <si>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</si>
  <si>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</si>
  <si>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</si>
  <si>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</si>
  <si>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</si>
  <si>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</si>
  <si>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</si>
  <si>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</si>
  <si>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</si>
  <si>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</si>
  <si>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</si>
  <si>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</si>
  <si>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</si>
  <si>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</si>
  <si>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</si>
  <si>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</si>
  <si>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</si>
  <si>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</si>
  <si>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</si>
  <si>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</si>
  <si>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</si>
  <si>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</si>
  <si>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</si>
  <si>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</si>
  <si>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</si>
  <si>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</si>
  <si>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</si>
  <si>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</si>
  <si>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</si>
  <si>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</si>
  <si>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</si>
  <si>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</si>
  <si>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</si>
  <si>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</si>
  <si>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</si>
  <si>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</si>
  <si>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</si>
  <si>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</si>
  <si>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</si>
  <si>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</si>
  <si>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</si>
  <si>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</si>
  <si>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</si>
  <si>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</si>
  <si>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</si>
  <si>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</si>
  <si>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</si>
  <si>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</si>
  <si>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</si>
  <si>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</si>
  <si>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</si>
  <si>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</si>
  <si>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</si>
  <si>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</si>
  <si>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</si>
  <si>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</si>
  <si>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</si>
  <si>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</si>
  <si>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</si>
  <si>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</si>
  <si>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</si>
  <si>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</si>
  <si>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</si>
  <si>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</si>
  <si>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</si>
  <si>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</si>
  <si>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</si>
  <si>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</si>
  <si>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</si>
  <si>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</si>
  <si>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</si>
  <si>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</si>
  <si>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</si>
  <si>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</si>
  <si>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</si>
  <si>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</si>
  <si>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</si>
  <si>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</si>
  <si>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</si>
  <si>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</si>
  <si>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</si>
  <si>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</si>
  <si>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</si>
  <si>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</si>
  <si>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</si>
  <si>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</si>
  <si>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</si>
  <si>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</si>
  <si>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</si>
  <si>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</si>
  <si>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</si>
  <si>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</si>
  <si>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</si>
  <si>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</si>
  <si>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</si>
  <si>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</si>
  <si>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</si>
  <si>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</si>
  <si>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</si>
  <si>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</si>
  <si>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</si>
  <si>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</si>
  <si>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</si>
  <si>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</si>
  <si>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</si>
  <si>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</si>
  <si>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</si>
  <si>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</si>
  <si>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</si>
  <si>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</si>
  <si>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MARZO 2023</t>
  </si>
  <si>
    <t>Marzo</t>
  </si>
  <si>
    <t>Enero - Marzo</t>
  </si>
  <si>
    <t>Grafico N° 11: Generación de energía eléctrica por Región, al mes de marzo 2023</t>
  </si>
  <si>
    <t>Cuadro N° 8: Producción de energía eléctrica nacional por zona del país, al mes de marzo</t>
  </si>
  <si>
    <t>Marzo 2023</t>
  </si>
  <si>
    <t>3.2 Producción de energía eléctrica (GWh) por origen y zona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</si>
</sst>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4" fontId="99" fillId="0" borderId="107" xfId="0" applyNumberFormat="1" applyFont="1" applyBorder="1"/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167" fontId="0" fillId="68" borderId="30" xfId="0" applyNumberFormat="1" applyFill="1" applyBorder="1"/>
    <xf numFmtId="167" fontId="0" fillId="68" borderId="35" xfId="0" applyNumberFormat="1" applyFill="1" applyBorder="1"/>
    <xf numFmtId="9" fontId="76" fillId="0" borderId="73" xfId="33743" applyNumberFormat="1" applyFont="1" applyBorder="1"/>
    <xf numFmtId="4" fontId="99" fillId="0" borderId="78" xfId="0" applyNumberFormat="1" applyFont="1" applyBorder="1"/>
    <xf numFmtId="167" fontId="0" fillId="68" borderId="81" xfId="0" applyNumberFormat="1" applyFill="1" applyBorder="1"/>
    <xf numFmtId="178" fontId="96" fillId="68" borderId="34" xfId="33743" applyNumberFormat="1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3317.6562129999998</c:v>
                </c:pt>
                <c:pt idx="1">
                  <c:v>1534.7826669999999</c:v>
                </c:pt>
                <c:pt idx="2">
                  <c:v>136.46411799999998</c:v>
                </c:pt>
                <c:pt idx="3">
                  <c:v>63.636809999999997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2949.3891997233468</c:v>
                </c:pt>
                <c:pt idx="1">
                  <c:v>2333.0558387766523</c:v>
                </c:pt>
                <c:pt idx="2">
                  <c:v>116.51706224749998</c:v>
                </c:pt>
                <c:pt idx="3">
                  <c:v>59.067099055000021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464000"/>
        <c:axId val="364482560"/>
      </c:barChart>
      <c:catAx>
        <c:axId val="36446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482560"/>
        <c:crosses val="autoZero"/>
        <c:auto val="1"/>
        <c:lblAlgn val="ctr"/>
        <c:lblOffset val="100"/>
        <c:noMultiLvlLbl val="0"/>
      </c:catAx>
      <c:valAx>
        <c:axId val="364482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4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2422.2511503816868</c:v>
                </c:pt>
                <c:pt idx="2" formatCode="_ * #,##0.00_ ;_ * \-#,##0.00_ ;_ * &quot;-&quot;??_ ;_ @_ ">
                  <c:v>6.4619999999999999E-3</c:v>
                </c:pt>
                <c:pt idx="3">
                  <c:v>2060.468945463675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68.34984056750001</c:v>
                </c:pt>
                <c:pt idx="1">
                  <c:v>381.01147668507446</c:v>
                </c:pt>
                <c:pt idx="2">
                  <c:v>59.083899055000025</c:v>
                </c:pt>
                <c:pt idx="3">
                  <c:v>89.623446683289444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32.426267870118032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4482.7265578453616</c:v>
                </c:pt>
                <c:pt idx="1">
                  <c:v>598.06866299086391</c:v>
                </c:pt>
                <c:pt idx="2">
                  <c:v>344.80771109615421</c:v>
                </c:pt>
                <c:pt idx="3">
                  <c:v>32.426267870118032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68055040"/>
        <c:axId val="368056576"/>
      </c:barChart>
      <c:catAx>
        <c:axId val="3680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8056576"/>
        <c:crosses val="autoZero"/>
        <c:auto val="1"/>
        <c:lblAlgn val="ctr"/>
        <c:lblOffset val="100"/>
        <c:noMultiLvlLbl val="0"/>
      </c:catAx>
      <c:valAx>
        <c:axId val="3680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80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CALLAO</c:v>
                </c:pt>
                <c:pt idx="5">
                  <c:v>CUSCO</c:v>
                </c:pt>
                <c:pt idx="6">
                  <c:v>ANCASH</c:v>
                </c:pt>
                <c:pt idx="7">
                  <c:v>CAJAMARCA</c:v>
                </c:pt>
                <c:pt idx="8">
                  <c:v>PUNO</c:v>
                </c:pt>
                <c:pt idx="9">
                  <c:v>PIURA</c:v>
                </c:pt>
                <c:pt idx="10">
                  <c:v>ICA</c:v>
                </c:pt>
                <c:pt idx="11">
                  <c:v>PASCO</c:v>
                </c:pt>
                <c:pt idx="12">
                  <c:v>AREQUIPA</c:v>
                </c:pt>
                <c:pt idx="13">
                  <c:v>LA LIBERTAD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APURIMAC</c:v>
                </c:pt>
                <c:pt idx="20">
                  <c:v>SAN MARTÍN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2514.4150528199966</c:v>
                </c:pt>
                <c:pt idx="1">
                  <c:v>678.11229147388656</c:v>
                </c:pt>
                <c:pt idx="2">
                  <c:v>384.32428562249981</c:v>
                </c:pt>
                <c:pt idx="3">
                  <c:v>357.48824327469998</c:v>
                </c:pt>
                <c:pt idx="4">
                  <c:v>267.6661599703848</c:v>
                </c:pt>
                <c:pt idx="5">
                  <c:v>205.92549144250006</c:v>
                </c:pt>
                <c:pt idx="6">
                  <c:v>156.24033435889339</c:v>
                </c:pt>
                <c:pt idx="7">
                  <c:v>137.87959225324013</c:v>
                </c:pt>
                <c:pt idx="8">
                  <c:v>128.3859337800001</c:v>
                </c:pt>
                <c:pt idx="9">
                  <c:v>118.22049880499999</c:v>
                </c:pt>
                <c:pt idx="10">
                  <c:v>109.02571832923081</c:v>
                </c:pt>
                <c:pt idx="11">
                  <c:v>100.69619403500005</c:v>
                </c:pt>
                <c:pt idx="12">
                  <c:v>88.970331691577655</c:v>
                </c:pt>
                <c:pt idx="13">
                  <c:v>73.427544839000007</c:v>
                </c:pt>
                <c:pt idx="14">
                  <c:v>50.317371612441882</c:v>
                </c:pt>
                <c:pt idx="15">
                  <c:v>32.426267870118032</c:v>
                </c:pt>
                <c:pt idx="16">
                  <c:v>23.783996289999997</c:v>
                </c:pt>
                <c:pt idx="17">
                  <c:v>10.252699480781652</c:v>
                </c:pt>
                <c:pt idx="18">
                  <c:v>7.3407127875000002</c:v>
                </c:pt>
                <c:pt idx="19">
                  <c:v>4.0814417418316964</c:v>
                </c:pt>
                <c:pt idx="20">
                  <c:v>3.8363134114141233</c:v>
                </c:pt>
                <c:pt idx="21">
                  <c:v>3.0025009999999996</c:v>
                </c:pt>
                <c:pt idx="22">
                  <c:v>1.1005480000000001</c:v>
                </c:pt>
                <c:pt idx="23">
                  <c:v>0.99010100000000012</c:v>
                </c:pt>
                <c:pt idx="24">
                  <c:v>0.1195739125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90909056"/>
        <c:axId val="190910848"/>
      </c:barChart>
      <c:catAx>
        <c:axId val="1909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90910848"/>
        <c:crosses val="autoZero"/>
        <c:auto val="1"/>
        <c:lblAlgn val="ctr"/>
        <c:lblOffset val="100"/>
        <c:noMultiLvlLbl val="0"/>
      </c:catAx>
      <c:valAx>
        <c:axId val="190910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909090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169.991367</c:v>
                </c:pt>
                <c:pt idx="1">
                  <c:v>183.00933991940164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4882.548440999999</c:v>
                </c:pt>
                <c:pt idx="1">
                  <c:v>5275.0198598830975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558976"/>
        <c:axId val="364568960"/>
        <c:axId val="364507584"/>
      </c:bar3DChart>
      <c:catAx>
        <c:axId val="3645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568960"/>
        <c:crosses val="autoZero"/>
        <c:auto val="1"/>
        <c:lblAlgn val="ctr"/>
        <c:lblOffset val="100"/>
        <c:noMultiLvlLbl val="0"/>
      </c:catAx>
      <c:valAx>
        <c:axId val="3645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558976"/>
        <c:crosses val="autoZero"/>
        <c:crossBetween val="between"/>
      </c:valAx>
      <c:serAx>
        <c:axId val="364507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56896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3064.6860152774993</c:v>
                </c:pt>
                <c:pt idx="1">
                  <c:v>2705.8080479133469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1495.120752</c:v>
                </c:pt>
                <c:pt idx="1">
                  <c:v>2282.7378566434677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252.97019772250056</c:v>
                </c:pt>
                <c:pt idx="1">
                  <c:v>243.58115181000014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239.76284299999998</c:v>
                </c:pt>
                <c:pt idx="1">
                  <c:v>225.90214343568454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4636800"/>
        <c:axId val="366244224"/>
        <c:axId val="0"/>
      </c:bar3DChart>
      <c:catAx>
        <c:axId val="3646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6244224"/>
        <c:crosses val="autoZero"/>
        <c:auto val="1"/>
        <c:lblAlgn val="ctr"/>
        <c:lblOffset val="100"/>
        <c:noMultiLvlLbl val="0"/>
      </c:catAx>
      <c:valAx>
        <c:axId val="3662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463680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Marzo 2023 </a:t>
            </a:r>
          </a:p>
          <a:p>
            <a:pPr>
              <a:defRPr sz="900"/>
            </a:pPr>
            <a:r>
              <a:rPr lang="en-US" sz="900"/>
              <a:t>Total: 5 458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1.5058756692668245E-3"/>
                  <c:y val="0.199282702148738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F-4107-818F-DC82D04D2ED0}"/>
                </c:ext>
              </c:extLst>
            </c:dLbl>
            <c:dLbl>
              <c:idx val="1"/>
              <c:layout>
                <c:manualLayout>
                  <c:x val="4.2555770997812067E-3"/>
                  <c:y val="-0.121052218737903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F-4107-818F-DC82D04D2ED0}"/>
                </c:ext>
              </c:extLst>
            </c:dLbl>
            <c:dLbl>
              <c:idx val="2"/>
              <c:layout>
                <c:manualLayout>
                  <c:x val="-6.8583901738169884E-3"/>
                  <c:y val="-0.167835590182747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0"/>
                  <c:y val="-0.119109128516788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-1.0287585260725483E-2"/>
                  <c:y val="4.3312410369741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3410250809168534"/>
                  <c:y val="-8.426821636424713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Mcdo</a:t>
                    </a:r>
                    <a:r>
                      <a:rPr lang="en-US" b="1" baseline="0"/>
                      <a:t> Elect</a:t>
                    </a:r>
                    <a:r>
                      <a:rPr lang="en-US" b="1"/>
                      <a:t>; </a:t>
                    </a:r>
                  </a:p>
                  <a:p>
                    <a:r>
                      <a:rPr lang="en-US" b="1"/>
                      <a:t>5 272; 97%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63.302752088141617</c:v>
                </c:pt>
                <c:pt idx="1">
                  <c:v>122.88181287698076</c:v>
                </c:pt>
                <c:pt idx="2">
                  <c:v>2886.0864476352053</c:v>
                </c:pt>
                <c:pt idx="3">
                  <c:v>2210.1740258996715</c:v>
                </c:pt>
                <c:pt idx="4">
                  <c:v>175.58416130250001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4812.7769649999991</c:v>
                </c:pt>
                <c:pt idx="1">
                  <c:v>5232.1270563668159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239.76284299999998</c:v>
                </c:pt>
                <c:pt idx="1">
                  <c:v>225.90214343568454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66764032"/>
        <c:axId val="366765568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4.745392458271553E-2</c:v>
                </c:pt>
                <c:pt idx="1">
                  <c:v>4.1388958388837278E-2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77472"/>
        <c:axId val="366767488"/>
      </c:lineChart>
      <c:catAx>
        <c:axId val="3667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6765568"/>
        <c:crosses val="autoZero"/>
        <c:auto val="1"/>
        <c:lblAlgn val="ctr"/>
        <c:lblOffset val="100"/>
        <c:noMultiLvlLbl val="1"/>
      </c:catAx>
      <c:valAx>
        <c:axId val="366765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6764032"/>
        <c:crosses val="autoZero"/>
        <c:crossBetween val="between"/>
        <c:majorUnit val="1000"/>
      </c:valAx>
      <c:valAx>
        <c:axId val="36676748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6777472"/>
        <c:crosses val="max"/>
        <c:crossBetween val="between"/>
      </c:valAx>
      <c:catAx>
        <c:axId val="36677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366767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3317.6562129999998</c:v>
                </c:pt>
                <c:pt idx="1">
                  <c:v>1412.0663030000001</c:v>
                </c:pt>
                <c:pt idx="2">
                  <c:v>81.177248999999392</c:v>
                </c:pt>
                <c:pt idx="4" formatCode="#,##0.00">
                  <c:v>1.8772</c:v>
                </c:pt>
                <c:pt idx="5">
                  <c:v>39.661914999999993</c:v>
                </c:pt>
                <c:pt idx="6">
                  <c:v>136.46411799999998</c:v>
                </c:pt>
                <c:pt idx="7">
                  <c:v>63.636809999999997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2949.3891997233468</c:v>
                </c:pt>
                <c:pt idx="1">
                  <c:v>2184.0660098469471</c:v>
                </c:pt>
                <c:pt idx="2">
                  <c:v>97.680023792084285</c:v>
                </c:pt>
                <c:pt idx="4" formatCode="#,##0.00">
                  <c:v>0.99182300443768845</c:v>
                </c:pt>
                <c:pt idx="5">
                  <c:v>50.317982133184529</c:v>
                </c:pt>
                <c:pt idx="6">
                  <c:v>116.51706224749998</c:v>
                </c:pt>
                <c:pt idx="7">
                  <c:v>59.067099055000021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2949.3891997233468</c:v>
                </c:pt>
                <c:pt idx="1">
                  <c:v>2184.0660098469471</c:v>
                </c:pt>
                <c:pt idx="2" formatCode="General">
                  <c:v>0</c:v>
                </c:pt>
                <c:pt idx="3">
                  <c:v>97.680023792084285</c:v>
                </c:pt>
                <c:pt idx="4">
                  <c:v>50.317982133184529</c:v>
                </c:pt>
                <c:pt idx="5">
                  <c:v>116.51706224749998</c:v>
                </c:pt>
                <c:pt idx="6">
                  <c:v>59.067099055000021</c:v>
                </c:pt>
                <c:pt idx="7">
                  <c:v>0.99182300443768845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7677824"/>
        <c:axId val="367680512"/>
      </c:barChart>
      <c:catAx>
        <c:axId val="3676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7680512"/>
        <c:crosses val="autoZero"/>
        <c:auto val="1"/>
        <c:lblAlgn val="ctr"/>
        <c:lblOffset val="100"/>
        <c:noMultiLvlLbl val="0"/>
      </c:catAx>
      <c:valAx>
        <c:axId val="3676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767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48.167221679999969</c:v>
                </c:pt>
                <c:pt idx="1">
                  <c:v>146.12657265658572</c:v>
                </c:pt>
                <c:pt idx="2">
                  <c:v>0</c:v>
                </c:pt>
                <c:pt idx="3">
                  <c:v>150.51391675956853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marzo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107577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pSpPr/>
      </xdr:nvGrpSpPr>
      <xdr:grpSpPr>
        <a:xfrm>
          <a:off x="934020" y="973486"/>
          <a:ext cx="6696227" cy="2530069"/>
          <a:chOff x="936906" y="956890"/>
          <a:chExt cx="6692620" cy="244419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936906" y="956890"/>
          <a:ext cx="6692620" cy="1996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00" zoomScaleSheetLayoutView="11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6" t="s">
        <v>64</v>
      </c>
      <c r="R11" s="41" t="s">
        <v>41</v>
      </c>
      <c r="S11" s="54">
        <f>E12</f>
        <v>63.302752088141617</v>
      </c>
    </row>
    <row r="12" spans="2:20">
      <c r="C12" s="110" t="s">
        <v>66</v>
      </c>
      <c r="D12" s="111">
        <v>2886.0864476352053</v>
      </c>
      <c r="E12" s="112">
        <v>63.302752088141617</v>
      </c>
      <c r="F12" s="113">
        <f>SUM(D12:E12)</f>
        <v>2949.3891997233468</v>
      </c>
      <c r="G12" s="310">
        <f>(F12/F$16)-0.001</f>
        <v>0.539376222214068</v>
      </c>
      <c r="Q12" s="336"/>
      <c r="R12" s="41" t="s">
        <v>73</v>
      </c>
      <c r="S12" s="54">
        <f>E13</f>
        <v>122.88181287698076</v>
      </c>
    </row>
    <row r="13" spans="2:20">
      <c r="C13" s="110" t="s">
        <v>65</v>
      </c>
      <c r="D13" s="111">
        <v>2210.1740258996715</v>
      </c>
      <c r="E13" s="112">
        <v>122.88181287698076</v>
      </c>
      <c r="F13" s="113">
        <f>SUM(D13:E13)</f>
        <v>2333.0558387766523</v>
      </c>
      <c r="G13" s="310">
        <f>(F13/F$16)</f>
        <v>0.42745389468804512</v>
      </c>
      <c r="Q13" s="336" t="s">
        <v>88</v>
      </c>
      <c r="R13" s="41" t="s">
        <v>41</v>
      </c>
      <c r="S13" s="54">
        <f>D12</f>
        <v>2886.0864476352053</v>
      </c>
      <c r="T13">
        <f>SUM(S13:S15)/SUM(S$11:S$15)</f>
        <v>0.96588795000000016</v>
      </c>
    </row>
    <row r="14" spans="2:20">
      <c r="C14" s="110" t="s">
        <v>67</v>
      </c>
      <c r="D14" s="111">
        <v>116.51706224749998</v>
      </c>
      <c r="E14" s="114"/>
      <c r="F14" s="113">
        <f>SUM(D14:E14)</f>
        <v>116.51706224749998</v>
      </c>
      <c r="G14" s="310">
        <f>(F14/F$16)</f>
        <v>2.1347826840449332E-2</v>
      </c>
      <c r="Q14" s="336"/>
      <c r="R14" s="41" t="s">
        <v>73</v>
      </c>
      <c r="S14" s="54">
        <f>D13</f>
        <v>2210.1740258996715</v>
      </c>
      <c r="T14">
        <f t="shared" ref="T14:T15" si="0">SUM(S14:S16)/SUM(S$11:S$15)</f>
        <v>0.43710982478593208</v>
      </c>
    </row>
    <row r="15" spans="2:20" ht="13.5" thickBot="1">
      <c r="C15" s="115" t="s">
        <v>5</v>
      </c>
      <c r="D15" s="116">
        <v>59.067099055000021</v>
      </c>
      <c r="E15" s="117"/>
      <c r="F15" s="118">
        <f>SUM(D15:E15)</f>
        <v>59.067099055000021</v>
      </c>
      <c r="G15" s="311">
        <f>(F15/F$16)</f>
        <v>1.0822056257437646E-2</v>
      </c>
      <c r="Q15" s="336"/>
      <c r="R15" s="41" t="s">
        <v>87</v>
      </c>
      <c r="S15" s="54">
        <f>SUM(D14:D15)</f>
        <v>175.58416130250001</v>
      </c>
      <c r="T15">
        <f t="shared" si="0"/>
        <v>3.216988309788698E-2</v>
      </c>
    </row>
    <row r="16" spans="2:20" ht="13.5" thickTop="1">
      <c r="C16" s="211" t="s">
        <v>71</v>
      </c>
      <c r="D16" s="212">
        <f>SUM(D12:D15)</f>
        <v>5271.8446348373764</v>
      </c>
      <c r="E16" s="213">
        <f>SUM(E12:E15)</f>
        <v>186.18456496512238</v>
      </c>
      <c r="F16" s="214">
        <f>SUM(F12:F15)</f>
        <v>5458.0291998024986</v>
      </c>
      <c r="G16" s="215"/>
    </row>
    <row r="17" spans="3:19">
      <c r="C17" s="216" t="s">
        <v>109</v>
      </c>
      <c r="D17" s="271">
        <f>D16/F16+0.001</f>
        <v>0.96688795000000005</v>
      </c>
      <c r="E17" s="272">
        <f>E16/F16-0.001</f>
        <v>3.3112049999999921E-2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43" t="s">
        <v>112</v>
      </c>
      <c r="D23" s="344"/>
      <c r="E23" s="337" t="s">
        <v>129</v>
      </c>
      <c r="F23" s="338"/>
      <c r="G23" s="122" t="s">
        <v>74</v>
      </c>
      <c r="H23" s="341" t="s">
        <v>130</v>
      </c>
      <c r="I23" s="342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1">
        <v>2022</v>
      </c>
      <c r="I24" s="126">
        <v>2023</v>
      </c>
      <c r="J24" s="127"/>
      <c r="Q24" s="41" t="s">
        <v>76</v>
      </c>
      <c r="R24" s="54">
        <f>E29</f>
        <v>169.991367</v>
      </c>
      <c r="S24" s="54">
        <f>F29</f>
        <v>183.00933991940164</v>
      </c>
    </row>
    <row r="25" spans="3:19">
      <c r="C25" s="332" t="s">
        <v>0</v>
      </c>
      <c r="D25" s="333"/>
      <c r="E25" s="160">
        <f>SUM(E26:E28)</f>
        <v>4882.548440999999</v>
      </c>
      <c r="F25" s="161">
        <f>SUM(F26:F28)</f>
        <v>5275.0198598830975</v>
      </c>
      <c r="G25" s="162">
        <f>((F25/E25)-1)</f>
        <v>8.0382493614895134E-2</v>
      </c>
      <c r="H25" s="202">
        <f>SUM(H26:H28)</f>
        <v>14176.479231999998</v>
      </c>
      <c r="I25" s="161">
        <f>SUM(I26:I28)</f>
        <v>14986.544781733101</v>
      </c>
      <c r="J25" s="162">
        <f>((I25/H25)-1)</f>
        <v>5.7141518459997709E-2</v>
      </c>
      <c r="Q25" s="41" t="s">
        <v>0</v>
      </c>
      <c r="R25" s="54">
        <f>E25</f>
        <v>4882.548440999999</v>
      </c>
      <c r="S25" s="54">
        <f>F25</f>
        <v>5275.0198598830975</v>
      </c>
    </row>
    <row r="26" spans="3:19">
      <c r="C26" s="229" t="s">
        <v>62</v>
      </c>
      <c r="D26" s="238" t="s">
        <v>102</v>
      </c>
      <c r="E26" s="113">
        <v>4709.423381999999</v>
      </c>
      <c r="F26" s="129">
        <v>5105.7815288399997</v>
      </c>
      <c r="G26" s="130">
        <f t="shared" ref="G26:G32" si="1">((F26/E26)-1)</f>
        <v>8.4162776350695134E-2</v>
      </c>
      <c r="H26" s="203">
        <v>13688.099974999997</v>
      </c>
      <c r="I26" s="129">
        <v>14522.913481210002</v>
      </c>
      <c r="J26" s="130">
        <f t="shared" ref="J26:J32" si="2">((I26/H26)-1)</f>
        <v>6.0988267746050262E-2</v>
      </c>
    </row>
    <row r="27" spans="3:19">
      <c r="C27" s="230" t="s">
        <v>106</v>
      </c>
      <c r="D27" s="239" t="s">
        <v>77</v>
      </c>
      <c r="E27" s="232">
        <v>123.24488199999998</v>
      </c>
      <c r="F27" s="233">
        <v>120.83034415216598</v>
      </c>
      <c r="G27" s="241">
        <f t="shared" si="1"/>
        <v>-1.959138431268892E-2</v>
      </c>
      <c r="H27" s="234">
        <v>347.22130799999996</v>
      </c>
      <c r="I27" s="233">
        <v>327.66485263216589</v>
      </c>
      <c r="J27" s="241">
        <f t="shared" si="2"/>
        <v>-5.6322739754883E-2</v>
      </c>
    </row>
    <row r="28" spans="3:19">
      <c r="C28" s="231" t="s">
        <v>64</v>
      </c>
      <c r="D28" s="240" t="s">
        <v>77</v>
      </c>
      <c r="E28" s="113">
        <v>49.880177000000003</v>
      </c>
      <c r="F28" s="129">
        <v>48.407986890931817</v>
      </c>
      <c r="G28" s="130">
        <f t="shared" si="1"/>
        <v>-2.9514532578105879E-2</v>
      </c>
      <c r="H28" s="203">
        <v>141.157949</v>
      </c>
      <c r="I28" s="129">
        <v>135.96644789093179</v>
      </c>
      <c r="J28" s="130">
        <f t="shared" si="2"/>
        <v>-3.6777957924765681E-2</v>
      </c>
    </row>
    <row r="29" spans="3:19">
      <c r="C29" s="332" t="s">
        <v>76</v>
      </c>
      <c r="D29" s="333"/>
      <c r="E29" s="160">
        <f>SUM(E30:E31)</f>
        <v>169.991367</v>
      </c>
      <c r="F29" s="161">
        <f>SUM(F30:F31)</f>
        <v>183.00933991940164</v>
      </c>
      <c r="G29" s="162">
        <f t="shared" si="1"/>
        <v>7.6580200213353544E-2</v>
      </c>
      <c r="H29" s="202">
        <f>SUM(H30:H31)</f>
        <v>511.63084000000003</v>
      </c>
      <c r="I29" s="161">
        <f>SUM(I30:I31)</f>
        <v>515.17408765960954</v>
      </c>
      <c r="J29" s="162">
        <f t="shared" si="2"/>
        <v>6.9253989059954169E-3</v>
      </c>
      <c r="Q29" s="41"/>
      <c r="R29" s="41"/>
      <c r="S29" s="41"/>
    </row>
    <row r="30" spans="3:19">
      <c r="C30" s="235" t="s">
        <v>68</v>
      </c>
      <c r="D30" s="124"/>
      <c r="E30" s="113">
        <v>41.256051000000006</v>
      </c>
      <c r="F30" s="129">
        <v>45.232761845211094</v>
      </c>
      <c r="G30" s="130">
        <f t="shared" si="1"/>
        <v>9.6390971719786833E-2</v>
      </c>
      <c r="H30" s="325">
        <v>123.34678</v>
      </c>
      <c r="I30" s="322">
        <v>122.7603855652111</v>
      </c>
      <c r="J30" s="306">
        <f t="shared" si="2"/>
        <v>-4.7540311533783575E-3</v>
      </c>
    </row>
    <row r="31" spans="3:19" ht="13.5" thickBot="1">
      <c r="C31" s="236" t="s">
        <v>64</v>
      </c>
      <c r="D31" s="237"/>
      <c r="E31" s="118">
        <v>128.73531599999998</v>
      </c>
      <c r="F31" s="132">
        <v>137.77657807419055</v>
      </c>
      <c r="G31" s="133">
        <f t="shared" si="1"/>
        <v>7.023140467679112E-2</v>
      </c>
      <c r="H31" s="204">
        <v>388.28406000000007</v>
      </c>
      <c r="I31" s="132">
        <v>392.41370209439845</v>
      </c>
      <c r="J31" s="133">
        <f t="shared" si="2"/>
        <v>1.0635620979131621E-2</v>
      </c>
    </row>
    <row r="32" spans="3:19" ht="14.25" thickTop="1" thickBot="1">
      <c r="C32" s="327" t="s">
        <v>108</v>
      </c>
      <c r="D32" s="328"/>
      <c r="E32" s="163">
        <f>SUM(E25,E29)</f>
        <v>5052.5398079999986</v>
      </c>
      <c r="F32" s="164">
        <f>SUM(F25,F29)</f>
        <v>5458.0291998024995</v>
      </c>
      <c r="G32" s="165">
        <f t="shared" si="1"/>
        <v>8.0254566457935494E-2</v>
      </c>
      <c r="H32" s="205">
        <f>SUM(H25,H29)</f>
        <v>14688.110071999998</v>
      </c>
      <c r="I32" s="164">
        <f>SUM(I25,I29)</f>
        <v>15501.718869392709</v>
      </c>
      <c r="J32" s="165">
        <f t="shared" si="2"/>
        <v>5.5392340703090071E-2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7" t="s">
        <v>129</v>
      </c>
      <c r="F38" s="338"/>
      <c r="G38" s="339" t="s">
        <v>74</v>
      </c>
      <c r="H38" s="341" t="s">
        <v>130</v>
      </c>
      <c r="I38" s="342"/>
      <c r="J38" s="339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40"/>
      <c r="H39" s="201">
        <v>2022</v>
      </c>
      <c r="I39" s="126">
        <v>2023</v>
      </c>
      <c r="J39" s="340"/>
      <c r="Q39" s="41" t="s">
        <v>66</v>
      </c>
      <c r="R39" s="54">
        <f>SUM(E41,E46)</f>
        <v>3317.6562129999998</v>
      </c>
      <c r="S39" s="54">
        <f>SUM(F41,F46)</f>
        <v>2949.3891997233468</v>
      </c>
    </row>
    <row r="40" spans="3:19">
      <c r="C40" s="332" t="s">
        <v>68</v>
      </c>
      <c r="D40" s="333"/>
      <c r="E40" s="160">
        <f>SUM(E41:E44)</f>
        <v>4873.9243149999993</v>
      </c>
      <c r="F40" s="161">
        <f>SUM(F41:F44)</f>
        <v>5271.8446348373764</v>
      </c>
      <c r="G40" s="162">
        <f>((F40/E40)-1)</f>
        <v>8.1642695725236525E-2</v>
      </c>
      <c r="H40" s="202">
        <f>SUM(H41:H44)</f>
        <v>14158.668062999999</v>
      </c>
      <c r="I40" s="161">
        <f>SUM(I41:I44)</f>
        <v>14973.338719407378</v>
      </c>
      <c r="J40" s="162">
        <f>((I40/H40)-1)</f>
        <v>5.753865072494424E-2</v>
      </c>
      <c r="Q40" s="41" t="s">
        <v>65</v>
      </c>
      <c r="R40" s="54">
        <f>SUM(E42,E47)</f>
        <v>1534.7826669999999</v>
      </c>
      <c r="S40" s="54">
        <f>SUM(F42,F47)</f>
        <v>2333.0558387766523</v>
      </c>
    </row>
    <row r="41" spans="3:19">
      <c r="C41" s="128" t="s">
        <v>66</v>
      </c>
      <c r="D41" s="69"/>
      <c r="E41" s="113">
        <v>3255.6578179999997</v>
      </c>
      <c r="F41" s="129">
        <f>D12</f>
        <v>2886.0864476352053</v>
      </c>
      <c r="G41" s="130">
        <f t="shared" ref="G41:G48" si="3">((F41/E41)-1)</f>
        <v>-0.11351665040517911</v>
      </c>
      <c r="H41" s="203">
        <v>9139.2833399999981</v>
      </c>
      <c r="I41" s="129">
        <v>8725.5922693077064</v>
      </c>
      <c r="J41" s="130">
        <f t="shared" ref="J41:J48" si="4">((I41/H41)-1)</f>
        <v>-4.5265154312667533E-2</v>
      </c>
      <c r="Q41" s="41" t="s">
        <v>67</v>
      </c>
      <c r="R41" s="54">
        <f>E43</f>
        <v>136.46411799999998</v>
      </c>
      <c r="S41" s="54">
        <f>F43</f>
        <v>116.51706224749998</v>
      </c>
    </row>
    <row r="42" spans="3:19">
      <c r="C42" s="128" t="s">
        <v>65</v>
      </c>
      <c r="D42" s="69"/>
      <c r="E42" s="113">
        <v>1418.165569</v>
      </c>
      <c r="F42" s="129">
        <f>D13</f>
        <v>2210.1740258996715</v>
      </c>
      <c r="G42" s="130">
        <f t="shared" si="3"/>
        <v>0.55847390051793844</v>
      </c>
      <c r="H42" s="203">
        <v>4407.4504619999998</v>
      </c>
      <c r="I42" s="129">
        <v>5691.512761104671</v>
      </c>
      <c r="J42" s="130">
        <f t="shared" si="4"/>
        <v>0.29133902018310898</v>
      </c>
      <c r="Q42" s="41" t="s">
        <v>5</v>
      </c>
      <c r="R42" s="54">
        <f>E44</f>
        <v>63.636809999999997</v>
      </c>
      <c r="S42" s="54">
        <f>F44</f>
        <v>59.067099055000021</v>
      </c>
    </row>
    <row r="43" spans="3:19">
      <c r="C43" s="128" t="s">
        <v>67</v>
      </c>
      <c r="D43" s="69"/>
      <c r="E43" s="113">
        <v>136.46411799999998</v>
      </c>
      <c r="F43" s="129">
        <f>D14</f>
        <v>116.51706224749998</v>
      </c>
      <c r="G43" s="130">
        <f t="shared" si="3"/>
        <v>-0.14617070072955007</v>
      </c>
      <c r="H43" s="203">
        <v>413.30614500000001</v>
      </c>
      <c r="I43" s="129">
        <v>370.0578715625</v>
      </c>
      <c r="J43" s="130">
        <f t="shared" si="4"/>
        <v>-0.10463980262742045</v>
      </c>
    </row>
    <row r="44" spans="3:19">
      <c r="C44" s="128" t="s">
        <v>5</v>
      </c>
      <c r="D44" s="69"/>
      <c r="E44" s="113">
        <v>63.636809999999997</v>
      </c>
      <c r="F44" s="129">
        <f>D15</f>
        <v>59.067099055000021</v>
      </c>
      <c r="G44" s="309">
        <f t="shared" si="3"/>
        <v>-7.1809239730903807E-2</v>
      </c>
      <c r="H44" s="203">
        <v>198.62811599999998</v>
      </c>
      <c r="I44" s="129">
        <v>186.17581743250003</v>
      </c>
      <c r="J44" s="130">
        <f t="shared" si="4"/>
        <v>-6.2691520305715231E-2</v>
      </c>
      <c r="Q44" s="41"/>
      <c r="R44" s="41"/>
      <c r="S44" s="41"/>
    </row>
    <row r="45" spans="3:19">
      <c r="C45" s="332" t="s">
        <v>64</v>
      </c>
      <c r="D45" s="333"/>
      <c r="E45" s="160">
        <f>SUM(E46:E47)</f>
        <v>178.61549299999999</v>
      </c>
      <c r="F45" s="161">
        <f>SUM(F46:F47)</f>
        <v>186.18456496512238</v>
      </c>
      <c r="G45" s="162">
        <f t="shared" si="3"/>
        <v>4.2376346183599978E-2</v>
      </c>
      <c r="H45" s="202">
        <f>SUM(H46:H47)</f>
        <v>529.44200899999998</v>
      </c>
      <c r="I45" s="161">
        <f>SUM(I46:I47)</f>
        <v>528.38014998533026</v>
      </c>
      <c r="J45" s="162">
        <f t="shared" si="4"/>
        <v>-2.0056191171443638E-3</v>
      </c>
    </row>
    <row r="46" spans="3:19">
      <c r="C46" s="128" t="s">
        <v>66</v>
      </c>
      <c r="D46" s="69"/>
      <c r="E46" s="113">
        <v>61.998395000000002</v>
      </c>
      <c r="F46" s="129">
        <f>E12</f>
        <v>63.302752088141617</v>
      </c>
      <c r="G46" s="130">
        <f t="shared" si="3"/>
        <v>2.1038562177966291E-2</v>
      </c>
      <c r="H46" s="325">
        <v>172.614722</v>
      </c>
      <c r="I46" s="322">
        <v>173.11015031824948</v>
      </c>
      <c r="J46" s="306">
        <f t="shared" si="4"/>
        <v>2.8701394209555975E-3</v>
      </c>
    </row>
    <row r="47" spans="3:19" ht="13.5" thickBot="1">
      <c r="C47" s="131" t="s">
        <v>65</v>
      </c>
      <c r="D47" s="69"/>
      <c r="E47" s="118">
        <v>116.61709799999998</v>
      </c>
      <c r="F47" s="132">
        <f>E13</f>
        <v>122.88181287698076</v>
      </c>
      <c r="G47" s="133">
        <f t="shared" si="3"/>
        <v>5.3720380496698583E-2</v>
      </c>
      <c r="H47" s="204">
        <v>356.82728700000001</v>
      </c>
      <c r="I47" s="132">
        <v>355.26999966708075</v>
      </c>
      <c r="J47" s="326">
        <f t="shared" si="4"/>
        <v>-4.3642607772853559E-3</v>
      </c>
    </row>
    <row r="48" spans="3:19" ht="14.25" thickTop="1" thickBot="1">
      <c r="C48" s="327" t="s">
        <v>108</v>
      </c>
      <c r="D48" s="328"/>
      <c r="E48" s="163">
        <f>SUM(E40,E45)</f>
        <v>5052.5398079999995</v>
      </c>
      <c r="F48" s="164">
        <f>SUM(F40,F45)</f>
        <v>5458.0291998024986</v>
      </c>
      <c r="G48" s="165">
        <f t="shared" si="3"/>
        <v>8.0254566457935272E-2</v>
      </c>
      <c r="H48" s="205">
        <f>SUM(H40,H45)</f>
        <v>14688.110071999999</v>
      </c>
      <c r="I48" s="164">
        <f>SUM(I40,I45)</f>
        <v>15501.718869392709</v>
      </c>
      <c r="J48" s="165">
        <f t="shared" si="4"/>
        <v>5.5392340703089848E-2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7" t="s">
        <v>129</v>
      </c>
      <c r="F54" s="338"/>
      <c r="G54" s="339" t="s">
        <v>74</v>
      </c>
      <c r="H54" s="341" t="s">
        <v>130</v>
      </c>
      <c r="I54" s="342"/>
      <c r="J54" s="339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40"/>
      <c r="H55" s="201">
        <v>2022</v>
      </c>
      <c r="I55" s="126">
        <v>2023</v>
      </c>
      <c r="J55" s="340"/>
      <c r="L55" s="36"/>
      <c r="M55" s="36"/>
    </row>
    <row r="56" spans="3:23">
      <c r="C56" s="332" t="s">
        <v>68</v>
      </c>
      <c r="D56" s="333"/>
      <c r="E56" s="160">
        <f>SUM(E57:E60)</f>
        <v>4873.9243150000002</v>
      </c>
      <c r="F56" s="161">
        <f>SUM(F57:F60)</f>
        <v>5271.8446348373764</v>
      </c>
      <c r="G56" s="162">
        <f>((F56/E56)-1)</f>
        <v>8.1642695725236303E-2</v>
      </c>
      <c r="H56" s="202">
        <f>SUM(H57:H60)</f>
        <v>14158.668062999997</v>
      </c>
      <c r="I56" s="161">
        <f>SUM(I57:I60)</f>
        <v>14973.338719407377</v>
      </c>
      <c r="J56" s="162">
        <f>((I56/H56)-1)</f>
        <v>5.753865072494424E-2</v>
      </c>
    </row>
    <row r="57" spans="3:23" ht="25.5">
      <c r="C57" s="330" t="s">
        <v>78</v>
      </c>
      <c r="D57" s="242" t="s">
        <v>79</v>
      </c>
      <c r="E57" s="276">
        <f>SUM(E43:E44)+22.338742</f>
        <v>222.43966999999998</v>
      </c>
      <c r="F57" s="277">
        <f>SUM(F43:F44)+26.6709326533104</f>
        <v>202.25509395581039</v>
      </c>
      <c r="G57" s="140">
        <f t="shared" ref="G57:G65" si="5">((F57/E57)-1)</f>
        <v>-9.0741799986439386E-2</v>
      </c>
      <c r="H57" s="219">
        <f>SUM(H43:H44)+70.323886</f>
        <v>682.25814700000001</v>
      </c>
      <c r="I57" s="277">
        <f>SUM(I43:I44)+69.0424521558104</f>
        <v>625.27614115081042</v>
      </c>
      <c r="J57" s="140">
        <f t="shared" ref="J57:J65" si="6">((I57/H57)-1)</f>
        <v>-8.3519714787941735E-2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1"/>
      <c r="D58" s="243" t="s">
        <v>110</v>
      </c>
      <c r="E58" s="232">
        <v>252.97019772250056</v>
      </c>
      <c r="F58" s="280">
        <v>243.58115181000014</v>
      </c>
      <c r="G58" s="241">
        <f t="shared" si="5"/>
        <v>-3.7115225417975406E-2</v>
      </c>
      <c r="H58" s="234">
        <v>709.74612115000082</v>
      </c>
      <c r="I58" s="233">
        <v>700.98719960749975</v>
      </c>
      <c r="J58" s="241">
        <f t="shared" si="6"/>
        <v>-1.2340922030414148E-2</v>
      </c>
      <c r="L58" s="36"/>
      <c r="M58" s="36"/>
      <c r="Q58" s="336" t="s">
        <v>80</v>
      </c>
      <c r="R58" s="41" t="s">
        <v>66</v>
      </c>
      <c r="T58" s="54">
        <f>SUM(E60,E64)</f>
        <v>3064.6860152774993</v>
      </c>
      <c r="U58" s="54">
        <f>SUM(F60,F64)</f>
        <v>2705.8080479133469</v>
      </c>
      <c r="V58" s="119">
        <f t="shared" ref="V58:W61" si="7">T58/T$64</f>
        <v>0.60656345753575103</v>
      </c>
      <c r="W58" s="119">
        <f t="shared" si="7"/>
        <v>0.49574818104880375</v>
      </c>
    </row>
    <row r="59" spans="3:23">
      <c r="C59" s="329" t="s">
        <v>80</v>
      </c>
      <c r="D59" s="244" t="s">
        <v>81</v>
      </c>
      <c r="E59" s="113">
        <f>SUM(E42:E44)-E57</f>
        <v>1395.8268270000001</v>
      </c>
      <c r="F59" s="129">
        <f>SUM(F42:F44)-F57</f>
        <v>2183.503093246361</v>
      </c>
      <c r="G59" s="130">
        <f t="shared" si="5"/>
        <v>0.56430801515635354</v>
      </c>
      <c r="H59" s="203">
        <f>SUM(H42:H44)-H57</f>
        <v>4337.1265759999987</v>
      </c>
      <c r="I59" s="129">
        <f>SUM(I42:I44)-I57</f>
        <v>5622.4703089488594</v>
      </c>
      <c r="J59" s="130">
        <f t="shared" si="6"/>
        <v>0.29635836317562458</v>
      </c>
      <c r="Q59" s="336"/>
      <c r="R59" s="41" t="s">
        <v>65</v>
      </c>
      <c r="T59" s="54">
        <f>SUM(E59,E63)</f>
        <v>1495.120752</v>
      </c>
      <c r="U59" s="54">
        <f>SUM(F59,F63)</f>
        <v>2282.7378566434677</v>
      </c>
      <c r="V59" s="119">
        <f t="shared" si="7"/>
        <v>0.29591469019851813</v>
      </c>
      <c r="W59" s="119">
        <f t="shared" si="7"/>
        <v>0.41823481939709473</v>
      </c>
    </row>
    <row r="60" spans="3:23">
      <c r="C60" s="329"/>
      <c r="D60" s="245" t="s">
        <v>41</v>
      </c>
      <c r="E60" s="113">
        <f>E41-E58</f>
        <v>3002.6876202774993</v>
      </c>
      <c r="F60" s="129">
        <f>F41-F58</f>
        <v>2642.5052958252054</v>
      </c>
      <c r="G60" s="130">
        <f t="shared" si="5"/>
        <v>-0.11995331183301938</v>
      </c>
      <c r="H60" s="203">
        <f>H41-H58</f>
        <v>8429.5372188499969</v>
      </c>
      <c r="I60" s="129">
        <f>I41-I58</f>
        <v>8024.6050697002065</v>
      </c>
      <c r="J60" s="130">
        <f t="shared" si="6"/>
        <v>-4.8037292989737024E-2</v>
      </c>
      <c r="Q60" s="336" t="s">
        <v>78</v>
      </c>
      <c r="R60" s="41" t="s">
        <v>66</v>
      </c>
      <c r="T60" s="54">
        <f>E58</f>
        <v>252.97019772250056</v>
      </c>
      <c r="U60" s="54">
        <f>F58</f>
        <v>243.58115181000014</v>
      </c>
      <c r="V60" s="119">
        <f t="shared" si="7"/>
        <v>5.0067927683015413E-2</v>
      </c>
      <c r="W60" s="119">
        <f t="shared" si="7"/>
        <v>4.4628041165264233E-2</v>
      </c>
    </row>
    <row r="61" spans="3:23">
      <c r="C61" s="332" t="s">
        <v>64</v>
      </c>
      <c r="D61" s="333"/>
      <c r="E61" s="160">
        <f>SUM(E62:E64)</f>
        <v>178.61549299999999</v>
      </c>
      <c r="F61" s="161">
        <f>SUM(F62:F64)</f>
        <v>186.18456496512238</v>
      </c>
      <c r="G61" s="162">
        <f t="shared" si="5"/>
        <v>4.2376346183599978E-2</v>
      </c>
      <c r="H61" s="202">
        <f>SUM(H62:H64)</f>
        <v>529.44200899999998</v>
      </c>
      <c r="I61" s="161">
        <f>SUM(I62:I64)</f>
        <v>528.38014998533026</v>
      </c>
      <c r="J61" s="162">
        <f t="shared" si="6"/>
        <v>-2.0056191171443638E-3</v>
      </c>
      <c r="Q61" s="336"/>
      <c r="R61" s="41" t="s">
        <v>89</v>
      </c>
      <c r="T61" s="54">
        <f>E57+E62</f>
        <v>239.76284299999998</v>
      </c>
      <c r="U61" s="54">
        <f>F57+F62</f>
        <v>225.90214343568454</v>
      </c>
      <c r="V61" s="119">
        <f t="shared" si="7"/>
        <v>4.745392458271553E-2</v>
      </c>
      <c r="W61" s="119">
        <f t="shared" si="7"/>
        <v>4.1388958388837285E-2</v>
      </c>
    </row>
    <row r="62" spans="3:23">
      <c r="C62" s="267" t="s">
        <v>78</v>
      </c>
      <c r="D62" s="268" t="s">
        <v>114</v>
      </c>
      <c r="E62" s="304">
        <v>17.323173000000001</v>
      </c>
      <c r="F62" s="278">
        <v>23.647049479874152</v>
      </c>
      <c r="G62" s="269">
        <f t="shared" si="5"/>
        <v>0.36505301193229167</v>
      </c>
      <c r="H62" s="279">
        <v>53.161626000000005</v>
      </c>
      <c r="I62" s="278">
        <v>68.288288479874154</v>
      </c>
      <c r="J62" s="269">
        <f t="shared" si="6"/>
        <v>0.28454100481941902</v>
      </c>
      <c r="Q62" s="41"/>
      <c r="R62" s="41"/>
      <c r="T62" s="41"/>
      <c r="U62" s="41"/>
      <c r="V62" s="41"/>
      <c r="W62" s="41"/>
    </row>
    <row r="63" spans="3:23">
      <c r="C63" s="334" t="s">
        <v>80</v>
      </c>
      <c r="D63" s="244" t="s">
        <v>81</v>
      </c>
      <c r="E63" s="321">
        <f>E47-E62</f>
        <v>99.293924999999987</v>
      </c>
      <c r="F63" s="322">
        <f>F47-F62</f>
        <v>99.234763397106605</v>
      </c>
      <c r="G63" s="306">
        <f>((F63/E63)-1)</f>
        <v>-5.9582298608285011E-4</v>
      </c>
      <c r="H63" s="203">
        <f>H47-H62</f>
        <v>303.665661</v>
      </c>
      <c r="I63" s="129">
        <f>I47-I62</f>
        <v>286.9817111872066</v>
      </c>
      <c r="J63" s="306">
        <f>((I63/H63)-1)</f>
        <v>-5.4941838856101044E-2</v>
      </c>
      <c r="Q63" s="41"/>
      <c r="R63" s="41"/>
      <c r="T63" s="41"/>
      <c r="U63" s="41"/>
      <c r="V63" s="41"/>
      <c r="W63" s="41"/>
    </row>
    <row r="64" spans="3:23" ht="13.5" thickBot="1">
      <c r="C64" s="335"/>
      <c r="D64" s="246" t="s">
        <v>41</v>
      </c>
      <c r="E64" s="118">
        <f>E46</f>
        <v>61.998395000000002</v>
      </c>
      <c r="F64" s="132">
        <f>F46</f>
        <v>63.302752088141617</v>
      </c>
      <c r="G64" s="133">
        <f t="shared" si="5"/>
        <v>2.1038562177966291E-2</v>
      </c>
      <c r="H64" s="204">
        <f>H46</f>
        <v>172.614722</v>
      </c>
      <c r="I64" s="132">
        <f>I46</f>
        <v>173.11015031824948</v>
      </c>
      <c r="J64" s="133">
        <f t="shared" si="6"/>
        <v>2.8701394209555975E-3</v>
      </c>
      <c r="Q64" s="41"/>
      <c r="R64" s="41"/>
      <c r="T64" s="54">
        <f>SUM(T58:T61)</f>
        <v>5052.5398079999995</v>
      </c>
      <c r="U64" s="54">
        <f>SUM(U58:U61)</f>
        <v>5458.0291998024995</v>
      </c>
      <c r="V64" s="41"/>
      <c r="W64" s="41"/>
    </row>
    <row r="65" spans="3:22" ht="14.25" thickTop="1" thickBot="1">
      <c r="C65" s="327" t="s">
        <v>108</v>
      </c>
      <c r="D65" s="328"/>
      <c r="E65" s="163">
        <f>SUM(E56,E61)</f>
        <v>5052.5398080000004</v>
      </c>
      <c r="F65" s="164">
        <f>SUM(F56,F61)</f>
        <v>5458.0291998024986</v>
      </c>
      <c r="G65" s="165">
        <f t="shared" si="5"/>
        <v>8.025456645793505E-2</v>
      </c>
      <c r="H65" s="205">
        <f>SUM(H56,H61)</f>
        <v>14688.110071999998</v>
      </c>
      <c r="I65" s="164">
        <f>SUM(I56,I61)</f>
        <v>15501.718869392707</v>
      </c>
      <c r="J65" s="165">
        <f t="shared" si="6"/>
        <v>5.5392340703089848E-2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topLeftCell="A31" zoomScale="110" zoomScaleNormal="100" zoomScaleSheetLayoutView="110" workbookViewId="0">
      <selection activeCell="C27" sqref="C27:I37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2949.3891997233468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2184.0660098469471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97.680023792084285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50.317982133184529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116.51706224749998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59.067099055000021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0.99182300443768845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5458.0291998024995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51" t="s">
        <v>129</v>
      </c>
      <c r="E27" s="351"/>
      <c r="F27" s="347" t="s">
        <v>74</v>
      </c>
      <c r="G27" s="345" t="s">
        <v>130</v>
      </c>
      <c r="H27" s="346"/>
      <c r="I27" s="347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2022</v>
      </c>
      <c r="E28" s="76">
        <v>2023</v>
      </c>
      <c r="F28" s="348"/>
      <c r="G28" s="206">
        <v>2022</v>
      </c>
      <c r="H28" s="76">
        <v>2023</v>
      </c>
      <c r="I28" s="348"/>
      <c r="M28" s="42" t="s">
        <v>85</v>
      </c>
      <c r="N28" s="53">
        <f t="shared" ref="N28:O29" si="1">D29</f>
        <v>3317.6562129999998</v>
      </c>
      <c r="O28" s="53">
        <f t="shared" si="1"/>
        <v>2949.3891997233468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3317.6562129999998</v>
      </c>
      <c r="E29" s="139">
        <f>'Resumen (G)'!F41+'Resumen (G)'!F46</f>
        <v>2949.3891997233468</v>
      </c>
      <c r="F29" s="140">
        <f>+E29/D29-1</f>
        <v>-0.11100216225949655</v>
      </c>
      <c r="G29" s="219">
        <f>'Resumen (G)'!H41+'Resumen (G)'!H46</f>
        <v>9311.8980619999984</v>
      </c>
      <c r="H29" s="139">
        <f>'Resumen (G)'!I41+'Resumen (G)'!I46</f>
        <v>8898.7024196259554</v>
      </c>
      <c r="I29" s="140">
        <f>+H29/G29-1</f>
        <v>-4.4372870023160149E-2</v>
      </c>
      <c r="J29" s="36"/>
      <c r="M29" s="42" t="s">
        <v>2</v>
      </c>
      <c r="N29" s="53">
        <f t="shared" si="1"/>
        <v>1412.0663030000001</v>
      </c>
      <c r="O29" s="53">
        <f t="shared" si="1"/>
        <v>2184.0660098469471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1412.0663030000001</v>
      </c>
      <c r="E30" s="143">
        <v>2184.0660098469471</v>
      </c>
      <c r="F30" s="144">
        <f t="shared" ref="F30:F37" si="2">+E30/D30-1</f>
        <v>0.54671632996750796</v>
      </c>
      <c r="G30" s="220">
        <v>4400.1744429999999</v>
      </c>
      <c r="H30" s="143">
        <v>5662.7342095919466</v>
      </c>
      <c r="I30" s="144">
        <f t="shared" ref="I30:I37" si="3">+H30/G30-1</f>
        <v>0.28693402567266046</v>
      </c>
      <c r="J30" s="224"/>
      <c r="K30" s="225"/>
      <c r="M30" s="42" t="s">
        <v>84</v>
      </c>
      <c r="N30" s="53">
        <f>D32</f>
        <v>81.177248999999392</v>
      </c>
      <c r="O30" s="53">
        <f>E32</f>
        <v>97.680023792084285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12" t="s">
        <v>119</v>
      </c>
      <c r="E31" s="317" t="s">
        <v>119</v>
      </c>
      <c r="F31" s="144"/>
      <c r="G31" s="315" t="s">
        <v>119</v>
      </c>
      <c r="H31" s="317" t="s">
        <v>119</v>
      </c>
      <c r="I31" s="319" t="s">
        <v>119</v>
      </c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81.177248999999392</v>
      </c>
      <c r="E32" s="143">
        <f>'Resumen (G)'!F32-SUM('TipoRecurso (G)'!E29:E30,'TipoRecurso (G)'!E33:E36)</f>
        <v>97.680023792084285</v>
      </c>
      <c r="F32" s="144">
        <f t="shared" si="2"/>
        <v>0.20329310238247933</v>
      </c>
      <c r="G32" s="220">
        <f>'Resumen (G)'!H32-SUM('TipoRecurso (G)'!G29:G30,'TipoRecurso (G)'!G33:G36)</f>
        <v>235.64529399999992</v>
      </c>
      <c r="H32" s="143">
        <f>'Resumen (G)'!I32-SUM('TipoRecurso (G)'!H29:H30,'TipoRecurso (G)'!H33:H36)</f>
        <v>243.87764453968339</v>
      </c>
      <c r="I32" s="144">
        <f t="shared" si="3"/>
        <v>3.493534880303395E-2</v>
      </c>
      <c r="J32" s="36"/>
      <c r="M32" s="42" t="s">
        <v>4</v>
      </c>
      <c r="N32" s="77">
        <f>D36</f>
        <v>1.8772</v>
      </c>
      <c r="O32" s="77">
        <f>E36</f>
        <v>0.99182300443768845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39.661914999999993</v>
      </c>
      <c r="E33" s="143">
        <f>'Resumen (G)'!F57+'Resumen (G)'!F62-SUM('TipoRecurso (G)'!E34:E35)</f>
        <v>50.317982133184529</v>
      </c>
      <c r="F33" s="144">
        <f t="shared" si="2"/>
        <v>0.26867253215545794</v>
      </c>
      <c r="G33" s="220">
        <f>'Resumen (G)'!H57+'Resumen (G)'!H62-SUM('TipoRecurso (G)'!G34:G35)</f>
        <v>123.48551199999997</v>
      </c>
      <c r="H33" s="143">
        <f>'Resumen (G)'!I57+'Resumen (G)'!I62-SUM('TipoRecurso (G)'!H34:H35)</f>
        <v>137.33074063568461</v>
      </c>
      <c r="I33" s="144">
        <f t="shared" si="3"/>
        <v>0.11212026748275239</v>
      </c>
      <c r="M33" s="42" t="s">
        <v>90</v>
      </c>
      <c r="N33" s="53">
        <f t="shared" ref="N33:O35" si="4">D33</f>
        <v>39.661914999999993</v>
      </c>
      <c r="O33" s="53">
        <f t="shared" si="4"/>
        <v>50.317982133184529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136.46411799999998</v>
      </c>
      <c r="E34" s="143">
        <f>'Resumen (G)'!F43</f>
        <v>116.51706224749998</v>
      </c>
      <c r="F34" s="144">
        <f t="shared" si="2"/>
        <v>-0.14617070072955007</v>
      </c>
      <c r="G34" s="220">
        <f>'Resumen (G)'!H43</f>
        <v>413.30614500000001</v>
      </c>
      <c r="H34" s="143">
        <f>'Resumen (G)'!I43</f>
        <v>370.0578715625</v>
      </c>
      <c r="I34" s="144">
        <f t="shared" si="3"/>
        <v>-0.10463980262742045</v>
      </c>
      <c r="M34" s="42" t="s">
        <v>14</v>
      </c>
      <c r="N34" s="53">
        <f t="shared" si="4"/>
        <v>136.46411799999998</v>
      </c>
      <c r="O34" s="53">
        <f t="shared" si="4"/>
        <v>116.51706224749998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63.636809999999997</v>
      </c>
      <c r="E35" s="143">
        <f>'Resumen (G)'!F44</f>
        <v>59.067099055000021</v>
      </c>
      <c r="F35" s="144">
        <f t="shared" si="2"/>
        <v>-7.1809239730903807E-2</v>
      </c>
      <c r="G35" s="220">
        <f>'Resumen (G)'!H44</f>
        <v>198.62811599999998</v>
      </c>
      <c r="H35" s="143">
        <f>'Resumen (G)'!I44</f>
        <v>186.17581743250003</v>
      </c>
      <c r="I35" s="144">
        <f t="shared" si="3"/>
        <v>-6.2691520305715231E-2</v>
      </c>
      <c r="M35" s="42" t="s">
        <v>5</v>
      </c>
      <c r="N35" s="53">
        <f t="shared" si="4"/>
        <v>63.636809999999997</v>
      </c>
      <c r="O35" s="53">
        <f t="shared" si="4"/>
        <v>59.067099055000021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18">
        <v>1.8772</v>
      </c>
      <c r="E36" s="314">
        <v>0.99182300443768845</v>
      </c>
      <c r="F36" s="146">
        <f t="shared" si="2"/>
        <v>-0.47164766437370098</v>
      </c>
      <c r="G36" s="313">
        <v>4.9725000000000001</v>
      </c>
      <c r="H36" s="314">
        <v>2.8401660044376884</v>
      </c>
      <c r="I36" s="146">
        <f t="shared" si="3"/>
        <v>-0.42882533847406967</v>
      </c>
      <c r="N36" s="53">
        <f>SUM(N28:N35)</f>
        <v>5052.5398079999986</v>
      </c>
      <c r="O36" s="53">
        <f>SUM(O28:O35)</f>
        <v>5458.0291998024995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5052.5398079999986</v>
      </c>
      <c r="E37" s="261">
        <f>SUM(E29:E36)</f>
        <v>5458.0291998024995</v>
      </c>
      <c r="F37" s="262">
        <f t="shared" si="2"/>
        <v>8.0254566457935494E-2</v>
      </c>
      <c r="G37" s="263">
        <f>SUM(G29:G36)</f>
        <v>14688.110071999998</v>
      </c>
      <c r="H37" s="261">
        <f>SUM(H29:H36)</f>
        <v>15501.718869392709</v>
      </c>
      <c r="I37" s="264">
        <f t="shared" si="3"/>
        <v>5.5392340703090071E-2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ref="M42:N44" si="5">N28/N$36</f>
        <v>0.65663138521876652</v>
      </c>
      <c r="N42" s="197">
        <f t="shared" si="5"/>
        <v>0.54037622221406789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0.27947653193433297</v>
      </c>
      <c r="N43" s="197">
        <f t="shared" si="5"/>
        <v>0.40015652718127237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1.6066622349311614E-2</v>
      </c>
      <c r="N44" s="197">
        <f t="shared" si="5"/>
        <v>1.7896574059299439E-2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ref="M45:N49" si="6">N32/N$36</f>
        <v>3.7153591487348858E-4</v>
      </c>
      <c r="N45" s="197">
        <f t="shared" si="6"/>
        <v>1.8171815652316003E-4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6"/>
        <v>7.8498965880883977E-3</v>
      </c>
      <c r="N46" s="197">
        <f t="shared" si="6"/>
        <v>9.2190752909503126E-3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 t="shared" si="6"/>
        <v>2.7009013918886479E-2</v>
      </c>
      <c r="N47" s="197">
        <f t="shared" si="6"/>
        <v>2.1347826840449328E-2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 t="shared" si="6"/>
        <v>1.259501407574066E-2</v>
      </c>
      <c r="N48" s="197">
        <f t="shared" si="6"/>
        <v>1.0822056257437644E-2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 t="shared" si="6"/>
        <v>1</v>
      </c>
      <c r="N49" s="197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1.0000000000000002</v>
      </c>
      <c r="N51" s="198">
        <f>SUM(N41:N48)</f>
        <v>1.0000000000000002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9" t="s">
        <v>91</v>
      </c>
      <c r="D55" s="351" t="s">
        <v>129</v>
      </c>
      <c r="E55" s="351"/>
      <c r="F55" s="347" t="s">
        <v>74</v>
      </c>
      <c r="G55" s="345" t="s">
        <v>130</v>
      </c>
      <c r="H55" s="346"/>
      <c r="I55" s="347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50"/>
      <c r="D56" s="75">
        <v>2022</v>
      </c>
      <c r="E56" s="76">
        <v>2023</v>
      </c>
      <c r="F56" s="348"/>
      <c r="G56" s="206">
        <v>2022</v>
      </c>
      <c r="H56" s="76">
        <v>2023</v>
      </c>
      <c r="I56" s="348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4812.7769649999991</v>
      </c>
      <c r="E57" s="252">
        <f>SUM(E29:E32,E36)</f>
        <v>5232.1270563668159</v>
      </c>
      <c r="F57" s="253">
        <f>+E57/D57-1</f>
        <v>8.7132666736160935E-2</v>
      </c>
      <c r="G57" s="254">
        <f>SUM(G29:G32,G36)</f>
        <v>13952.690298999998</v>
      </c>
      <c r="H57" s="252">
        <f>SUM(H29:H32,H36)</f>
        <v>14808.154439762024</v>
      </c>
      <c r="I57" s="253">
        <f>+H57/G57-1</f>
        <v>6.1311770162585599E-2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5" t="s">
        <v>104</v>
      </c>
      <c r="D58" s="301">
        <f>SUM(D33:D35)</f>
        <v>239.76284299999998</v>
      </c>
      <c r="E58" s="256">
        <f>SUM(E33:E35)</f>
        <v>225.90214343568454</v>
      </c>
      <c r="F58" s="302">
        <f>+E58/D58-1</f>
        <v>-5.781004008329782E-2</v>
      </c>
      <c r="G58" s="307">
        <f>SUM(G33:G35)</f>
        <v>735.41977299999996</v>
      </c>
      <c r="H58" s="256">
        <f>SUM(H33:H35)</f>
        <v>693.56442963068457</v>
      </c>
      <c r="I58" s="308">
        <f>+H58/G58-1</f>
        <v>-5.6913540954405928E-2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5052.5398079999995</v>
      </c>
      <c r="E59" s="79">
        <f>SUM(E57:E58)</f>
        <v>5458.0291998025004</v>
      </c>
      <c r="F59" s="80">
        <f>+E59/D59-1</f>
        <v>8.0254566457935494E-2</v>
      </c>
      <c r="G59" s="221">
        <f>SUM(G57:G58)</f>
        <v>14688.110071999998</v>
      </c>
      <c r="H59" s="79">
        <f>SUM(H57:H58)</f>
        <v>15501.718869392709</v>
      </c>
      <c r="I59" s="80">
        <f>+H59/G59-1</f>
        <v>5.5392340703090071E-2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4.745392458271553E-2</v>
      </c>
      <c r="E60" s="82">
        <f>+E58/E59</f>
        <v>4.1388958388837278E-2</v>
      </c>
      <c r="F60" s="83"/>
      <c r="G60" s="222">
        <f>+G58/G59</f>
        <v>5.0069053771726123E-2</v>
      </c>
      <c r="H60" s="82">
        <f>+H58/H59</f>
        <v>4.4741130675520727E-2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4812.7769649999991</v>
      </c>
      <c r="N65" s="59">
        <f>E57</f>
        <v>5232.1270563668159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239.76284299999998</v>
      </c>
      <c r="N66" s="59">
        <f>E58</f>
        <v>225.90214343568454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4"/>
      <c r="D78" s="351" t="s">
        <v>129</v>
      </c>
      <c r="E78" s="351"/>
      <c r="F78" s="84" t="s">
        <v>74</v>
      </c>
      <c r="G78" s="345" t="s">
        <v>130</v>
      </c>
      <c r="H78" s="346"/>
      <c r="I78" s="84" t="s">
        <v>74</v>
      </c>
      <c r="M78" s="42" t="s">
        <v>96</v>
      </c>
      <c r="N78" s="53">
        <f>D80</f>
        <v>12.217543175000001</v>
      </c>
      <c r="O78" s="53">
        <f>E80</f>
        <v>5.9319609249999994</v>
      </c>
    </row>
    <row r="79" spans="2:24" ht="12.75" customHeight="1">
      <c r="C79" s="299" t="s">
        <v>95</v>
      </c>
      <c r="D79" s="300">
        <v>2022</v>
      </c>
      <c r="E79" s="76">
        <v>2023</v>
      </c>
      <c r="F79" s="85"/>
      <c r="G79" s="293">
        <v>2022</v>
      </c>
      <c r="H79" s="76">
        <v>2023</v>
      </c>
      <c r="I79" s="85"/>
      <c r="M79" s="42" t="s">
        <v>97</v>
      </c>
      <c r="N79" s="53">
        <f>D81</f>
        <v>4861.7067718249991</v>
      </c>
      <c r="O79" s="53">
        <f>E81</f>
        <v>5265.9126739123767</v>
      </c>
    </row>
    <row r="80" spans="2:24" ht="12.75" customHeight="1">
      <c r="C80" s="110" t="s">
        <v>96</v>
      </c>
      <c r="D80" s="113">
        <v>12.217543175000001</v>
      </c>
      <c r="E80" s="298">
        <v>5.9319609249999994</v>
      </c>
      <c r="F80" s="130">
        <f>((E80/D80)-1)</f>
        <v>-0.51447186721318883</v>
      </c>
      <c r="G80" s="203">
        <v>70.241378617500004</v>
      </c>
      <c r="H80" s="298">
        <v>53.997956817500004</v>
      </c>
      <c r="I80" s="130">
        <f>((H80/G80)-1)</f>
        <v>-0.23125146629672066</v>
      </c>
      <c r="K80" s="54"/>
    </row>
    <row r="81" spans="3:15" ht="16.5" customHeight="1" thickBot="1">
      <c r="C81" s="115" t="s">
        <v>97</v>
      </c>
      <c r="D81" s="118">
        <f>'Resumen (G)'!E40-D80</f>
        <v>4861.7067718249991</v>
      </c>
      <c r="E81" s="281">
        <f>'Resumen (G)'!F40-E80</f>
        <v>5265.9126739123767</v>
      </c>
      <c r="F81" s="133">
        <f>((E81/D81)-1)</f>
        <v>8.3140740702394522E-2</v>
      </c>
      <c r="G81" s="204">
        <f>'Resumen (G)'!H40-G80</f>
        <v>14088.426684382499</v>
      </c>
      <c r="H81" s="281">
        <f>'Resumen (G)'!I40-H80</f>
        <v>14919.340762589878</v>
      </c>
      <c r="I81" s="133">
        <f>((H81/G81)-1)</f>
        <v>5.8978486159031229E-2</v>
      </c>
      <c r="M81" s="53"/>
      <c r="N81" s="53"/>
      <c r="O81" s="53"/>
    </row>
    <row r="82" spans="3:15" ht="14.25" thickTop="1" thickBot="1">
      <c r="C82" s="104" t="s">
        <v>94</v>
      </c>
      <c r="D82" s="199">
        <f>SUM(D80:D81)</f>
        <v>4873.9243149999993</v>
      </c>
      <c r="E82" s="282">
        <f>SUM(E80:E81)</f>
        <v>5271.8446348373764</v>
      </c>
      <c r="F82" s="105"/>
      <c r="G82" s="223">
        <f>SUM(G80:G81)</f>
        <v>14158.668062999999</v>
      </c>
      <c r="H82" s="282">
        <f>SUM(H80:H81)</f>
        <v>14973.338719407378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C55:C56"/>
    <mergeCell ref="D78:E78"/>
    <mergeCell ref="D27:E27"/>
    <mergeCell ref="F27:F28"/>
    <mergeCell ref="D55:E55"/>
    <mergeCell ref="F55:F56"/>
    <mergeCell ref="G27:H27"/>
    <mergeCell ref="I27:I28"/>
    <mergeCell ref="G55:H55"/>
    <mergeCell ref="I55:I56"/>
    <mergeCell ref="G78:H78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topLeftCell="A13" zoomScaleNormal="100" zoomScaleSheetLayoutView="100" workbookViewId="0">
      <selection activeCell="I48" sqref="I48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9" t="s">
        <v>129</v>
      </c>
      <c r="E8" s="360"/>
      <c r="F8" s="347" t="s">
        <v>74</v>
      </c>
      <c r="G8" s="345" t="s">
        <v>130</v>
      </c>
      <c r="H8" s="346"/>
      <c r="I8" s="347" t="s">
        <v>74</v>
      </c>
      <c r="J8" s="16"/>
    </row>
    <row r="9" spans="3:13" ht="13.5" customHeight="1">
      <c r="C9" s="179"/>
      <c r="D9" s="88">
        <v>2022</v>
      </c>
      <c r="E9" s="76">
        <v>2023</v>
      </c>
      <c r="F9" s="348"/>
      <c r="G9" s="293">
        <v>2022</v>
      </c>
      <c r="H9" s="76">
        <v>2023</v>
      </c>
      <c r="I9" s="348"/>
      <c r="J9" s="16"/>
    </row>
    <row r="10" spans="3:13">
      <c r="C10" s="166" t="s">
        <v>10</v>
      </c>
      <c r="D10" s="167">
        <f>'Por Región (G)'!O8</f>
        <v>312.59465699999998</v>
      </c>
      <c r="E10" s="168">
        <f>'Por Región (G)'!P8</f>
        <v>344.80771109615421</v>
      </c>
      <c r="F10" s="169">
        <f>+E10/D10-1</f>
        <v>0.10305055884609771</v>
      </c>
      <c r="G10" s="289">
        <f>'Por Región (G)'!Q8</f>
        <v>961.99918600000001</v>
      </c>
      <c r="H10" s="168">
        <f>'Por Región (G)'!R8</f>
        <v>986.21968964915436</v>
      </c>
      <c r="I10" s="169">
        <f>+H10/G10-1</f>
        <v>2.5177260024370041E-2</v>
      </c>
      <c r="J10" s="16"/>
      <c r="L10" s="41" t="s">
        <v>9</v>
      </c>
      <c r="M10" s="200">
        <f>E11</f>
        <v>4482.7265578453616</v>
      </c>
    </row>
    <row r="11" spans="3:13">
      <c r="C11" s="170" t="s">
        <v>9</v>
      </c>
      <c r="D11" s="171">
        <f>'Por Región (G)'!O9</f>
        <v>4044.7744859999993</v>
      </c>
      <c r="E11" s="172">
        <f>'Por Región (G)'!P9</f>
        <v>4482.7265578453616</v>
      </c>
      <c r="F11" s="173">
        <f>+E11/D11-1</f>
        <v>0.10827601720719571</v>
      </c>
      <c r="G11" s="290">
        <f>'Por Región (G)'!Q9</f>
        <v>11722.839612000002</v>
      </c>
      <c r="H11" s="172">
        <f>'Por Región (G)'!R9</f>
        <v>12638.710451751569</v>
      </c>
      <c r="I11" s="173">
        <f>+H11/G11-1</f>
        <v>7.8127046864485239E-2</v>
      </c>
      <c r="J11" s="16"/>
      <c r="L11" s="41" t="s">
        <v>12</v>
      </c>
      <c r="M11" s="200">
        <f>E12</f>
        <v>598.06866299086391</v>
      </c>
    </row>
    <row r="12" spans="3:13">
      <c r="C12" s="170" t="s">
        <v>12</v>
      </c>
      <c r="D12" s="171">
        <f>'Por Región (G)'!O10</f>
        <v>660.52085499999998</v>
      </c>
      <c r="E12" s="172">
        <f>'Por Región (G)'!P10</f>
        <v>598.06866299086391</v>
      </c>
      <c r="F12" s="173">
        <f>+E12/D12-1</f>
        <v>-9.4549916988065585E-2</v>
      </c>
      <c r="G12" s="290">
        <f>'Por Región (G)'!Q10</f>
        <v>1899.4823469999999</v>
      </c>
      <c r="H12" s="172">
        <f>'Por Región (G)'!R10</f>
        <v>1779.8923901218639</v>
      </c>
      <c r="I12" s="173">
        <f>+H12/G12-1</f>
        <v>-6.2959235744945885E-2</v>
      </c>
      <c r="J12" s="16"/>
      <c r="L12" s="41" t="s">
        <v>10</v>
      </c>
      <c r="M12" s="200">
        <f>E10</f>
        <v>344.80771109615421</v>
      </c>
    </row>
    <row r="13" spans="3:13">
      <c r="C13" s="174" t="s">
        <v>11</v>
      </c>
      <c r="D13" s="175">
        <f>'Por Región (G)'!O11</f>
        <v>34.649810000000002</v>
      </c>
      <c r="E13" s="176">
        <f>'Por Región (G)'!P11</f>
        <v>32.426267870118032</v>
      </c>
      <c r="F13" s="177">
        <f>+E13/D13-1</f>
        <v>-6.4171841920113604E-2</v>
      </c>
      <c r="G13" s="291">
        <f>'Por Región (G)'!Q11</f>
        <v>103.788927</v>
      </c>
      <c r="H13" s="176">
        <f>'Por Región (G)'!R11</f>
        <v>96.896337870118032</v>
      </c>
      <c r="I13" s="177">
        <f>+H13/G13-1</f>
        <v>-6.6409677112106325E-2</v>
      </c>
      <c r="J13" s="16"/>
      <c r="L13" s="41" t="s">
        <v>11</v>
      </c>
      <c r="M13" s="200">
        <f>E13</f>
        <v>32.426267870118032</v>
      </c>
    </row>
    <row r="14" spans="3:13" ht="13.5" thickBot="1">
      <c r="C14" s="180" t="s">
        <v>108</v>
      </c>
      <c r="D14" s="181">
        <f>SUM(D10:D13)</f>
        <v>5052.5398079999986</v>
      </c>
      <c r="E14" s="182">
        <f>SUM(E10:E13)</f>
        <v>5458.0291998024977</v>
      </c>
      <c r="F14" s="183">
        <f>+E14/D14-1</f>
        <v>8.0254566457935272E-2</v>
      </c>
      <c r="G14" s="292">
        <f>SUM(G10:G13)</f>
        <v>14688.110071999999</v>
      </c>
      <c r="H14" s="182">
        <f>SUM(H10:H13)</f>
        <v>15501.718869392706</v>
      </c>
      <c r="I14" s="183">
        <f>+H14/G14-1</f>
        <v>5.5392340703089626E-2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134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6" t="s">
        <v>93</v>
      </c>
      <c r="D18" s="356"/>
      <c r="E18" s="356"/>
      <c r="F18" s="356"/>
      <c r="G18" s="357" t="s">
        <v>107</v>
      </c>
      <c r="H18" s="358"/>
      <c r="I18" s="358"/>
      <c r="J18" s="358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52" t="s">
        <v>13</v>
      </c>
      <c r="D54" s="354" t="s">
        <v>133</v>
      </c>
      <c r="E54" s="355"/>
      <c r="F54" s="355"/>
      <c r="G54" s="355"/>
      <c r="H54" s="355"/>
    </row>
    <row r="55" spans="3:15">
      <c r="C55" s="353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f>'Resumen (G)'!D14-'PorZona (G)'!D58</f>
        <v>48.167221679999969</v>
      </c>
      <c r="E56" s="188">
        <v>146.12657265658572</v>
      </c>
      <c r="F56" s="188">
        <v>0</v>
      </c>
      <c r="G56" s="188">
        <v>150.51391675956853</v>
      </c>
      <c r="H56" s="188">
        <f>SUM(D56:G56)</f>
        <v>344.80771109615421</v>
      </c>
      <c r="I56" s="284"/>
      <c r="K56" s="265"/>
      <c r="L56" s="265"/>
      <c r="M56" s="265"/>
      <c r="O56" s="265"/>
    </row>
    <row r="57" spans="3:15">
      <c r="C57" s="110" t="s">
        <v>9</v>
      </c>
      <c r="D57" s="287">
        <v>0</v>
      </c>
      <c r="E57" s="189">
        <v>2422.2511503816868</v>
      </c>
      <c r="F57" s="320">
        <v>6.4619999999999999E-3</v>
      </c>
      <c r="G57" s="189">
        <v>2060.468945463675</v>
      </c>
      <c r="H57" s="189">
        <f>SUM(D57:G57)</f>
        <v>4482.7265578453616</v>
      </c>
      <c r="I57" s="284"/>
      <c r="K57" s="265"/>
      <c r="L57" s="265"/>
      <c r="M57" s="265"/>
      <c r="O57" s="265"/>
    </row>
    <row r="58" spans="3:15">
      <c r="C58" s="110" t="s">
        <v>12</v>
      </c>
      <c r="D58" s="287">
        <v>68.34984056750001</v>
      </c>
      <c r="E58" s="189">
        <v>381.01147668507446</v>
      </c>
      <c r="F58" s="189">
        <f>'Resumen (G)'!D15+0.0168</f>
        <v>59.083899055000025</v>
      </c>
      <c r="G58" s="189">
        <v>89.623446683289444</v>
      </c>
      <c r="H58" s="189">
        <f>SUM(D58:G58)</f>
        <v>598.06866299086391</v>
      </c>
      <c r="I58" s="284"/>
      <c r="K58" s="265"/>
      <c r="L58" s="265"/>
      <c r="M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32.426267870118032</v>
      </c>
      <c r="H59" s="190">
        <f>SUM(D59:G59)</f>
        <v>32.426267870118032</v>
      </c>
      <c r="I59" s="284"/>
      <c r="L59" s="265"/>
    </row>
    <row r="60" spans="3:15" ht="13.5" thickBot="1">
      <c r="C60" s="93" t="s">
        <v>108</v>
      </c>
      <c r="D60" s="191">
        <f>SUM(D56:D59)</f>
        <v>116.51706224749998</v>
      </c>
      <c r="E60" s="192">
        <f>SUM(E56:E59)</f>
        <v>2949.3891997233468</v>
      </c>
      <c r="F60" s="192">
        <f>SUM(F56:F59)</f>
        <v>59.090361055000024</v>
      </c>
      <c r="G60" s="192">
        <f>SUM(G56:G59)</f>
        <v>2333.0325767766508</v>
      </c>
      <c r="H60" s="192">
        <f>SUM(H56:H59)</f>
        <v>5458.0291998024977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zoomScaleNormal="100" zoomScaleSheetLayoutView="100" workbookViewId="0">
      <selection activeCell="E3" sqref="E3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9" t="s">
        <v>129</v>
      </c>
      <c r="E6" s="360"/>
      <c r="F6" s="347" t="s">
        <v>74</v>
      </c>
      <c r="G6" s="345" t="s">
        <v>130</v>
      </c>
      <c r="H6" s="346"/>
      <c r="I6" s="347" t="s">
        <v>74</v>
      </c>
      <c r="O6" s="36"/>
      <c r="P6" s="7"/>
      <c r="Q6" s="361" t="s">
        <v>116</v>
      </c>
      <c r="R6" s="361"/>
    </row>
    <row r="7" spans="3:19" ht="12.75" customHeight="1">
      <c r="C7" s="87"/>
      <c r="D7" s="88">
        <v>2022</v>
      </c>
      <c r="E7" s="76">
        <v>2023</v>
      </c>
      <c r="F7" s="348"/>
      <c r="G7" s="206">
        <v>2022</v>
      </c>
      <c r="H7" s="76">
        <v>2023</v>
      </c>
      <c r="I7" s="348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5">
        <v>3.0733019999999995</v>
      </c>
      <c r="E8" s="297">
        <v>3.0025009999999996</v>
      </c>
      <c r="F8" s="194">
        <f>+E8/D8-1</f>
        <v>-2.30374366072712E-2</v>
      </c>
      <c r="G8" s="303">
        <v>11.983948999999999</v>
      </c>
      <c r="H8" s="297">
        <v>9.007502999999998</v>
      </c>
      <c r="I8" s="194">
        <f>+H8/G8-1</f>
        <v>-0.24836938141175346</v>
      </c>
      <c r="J8" s="16"/>
      <c r="K8" s="35"/>
      <c r="L8" s="35"/>
      <c r="N8" s="41" t="s">
        <v>10</v>
      </c>
      <c r="O8" s="54">
        <f>SUM(D8,D13,D20,D21,D27,D29,D31)</f>
        <v>312.59465699999998</v>
      </c>
      <c r="P8" s="54">
        <f>SUM(E8,E13,E20,E21,E27,E29,E31)</f>
        <v>344.80771109615421</v>
      </c>
      <c r="Q8" s="54">
        <f>SUM(G8,G13,G20,G21,G27,G29,G31)</f>
        <v>961.99918600000001</v>
      </c>
      <c r="R8" s="54">
        <f>SUM(H8,H13,H20,H21,H27,H29,H31)</f>
        <v>986.21968964915436</v>
      </c>
    </row>
    <row r="9" spans="3:19" ht="20.100000000000001" customHeight="1">
      <c r="C9" s="96" t="s">
        <v>18</v>
      </c>
      <c r="D9" s="193">
        <v>276.27864999999997</v>
      </c>
      <c r="E9" s="247">
        <v>156.24033435889339</v>
      </c>
      <c r="F9" s="195">
        <f t="shared" ref="F9:F32" si="0">+E9/D9-1</f>
        <v>-0.43448277903886745</v>
      </c>
      <c r="G9" s="207">
        <v>765.40885999999989</v>
      </c>
      <c r="H9" s="247">
        <v>655.52572359299336</v>
      </c>
      <c r="I9" s="195">
        <f t="shared" ref="I9:I32" si="1">+H9/G9-1</f>
        <v>-0.14356135935897918</v>
      </c>
      <c r="J9" s="16"/>
      <c r="K9" s="35"/>
      <c r="L9" s="35"/>
      <c r="N9" s="41" t="s">
        <v>9</v>
      </c>
      <c r="O9" s="54">
        <f>SUM(D9,D14,D16,D17,D19,D22,D26,D32)</f>
        <v>4044.7744859999993</v>
      </c>
      <c r="P9" s="54">
        <f>SUM(E9,E14,E16,E17,E19,E22,E26,E32)</f>
        <v>4482.7265578453616</v>
      </c>
      <c r="Q9" s="54">
        <f>SUM(G9,G14,G16,G17,G19,G22,G26,G32)</f>
        <v>11722.839612000002</v>
      </c>
      <c r="R9" s="54">
        <f>SUM(H9,H14,H16,H17,H19,H22,H26,H32)</f>
        <v>12638.710451751569</v>
      </c>
    </row>
    <row r="10" spans="3:19" ht="20.100000000000001" customHeight="1">
      <c r="C10" s="97" t="s">
        <v>19</v>
      </c>
      <c r="D10" s="193">
        <v>4.8098549999999998</v>
      </c>
      <c r="E10" s="247">
        <v>4.0814417418316964</v>
      </c>
      <c r="F10" s="195">
        <f t="shared" si="0"/>
        <v>-0.15144183310480319</v>
      </c>
      <c r="G10" s="294">
        <v>13.809263999999999</v>
      </c>
      <c r="H10" s="270">
        <v>12.119032741831695</v>
      </c>
      <c r="I10" s="195">
        <f t="shared" si="1"/>
        <v>-0.12239835940339061</v>
      </c>
      <c r="J10" s="16"/>
      <c r="K10" s="35"/>
      <c r="L10" s="35"/>
      <c r="N10" s="41" t="s">
        <v>12</v>
      </c>
      <c r="O10" s="54">
        <f>SUM(D10,D11,D12,D15,D18,D24,D25,D28,D30)</f>
        <v>660.52085499999998</v>
      </c>
      <c r="P10" s="54">
        <f>SUM(E10,E11,E12,E15,E18,E24,E25,E28,E30)</f>
        <v>598.06866299086391</v>
      </c>
      <c r="Q10" s="54">
        <f>SUM(G10,G11,G12,G15,G18,G24,G25,G28,G30)</f>
        <v>1899.4823469999999</v>
      </c>
      <c r="R10" s="54">
        <f>SUM(H10,H11,H12,H15,H18,H24,H25,H28,H30)</f>
        <v>1779.8923901218639</v>
      </c>
    </row>
    <row r="11" spans="3:19" ht="20.100000000000001" customHeight="1">
      <c r="C11" s="96" t="s">
        <v>20</v>
      </c>
      <c r="D11" s="193">
        <v>110.81644099999998</v>
      </c>
      <c r="E11" s="247">
        <v>88.970331691577655</v>
      </c>
      <c r="F11" s="195">
        <f t="shared" si="0"/>
        <v>-0.19713779933089826</v>
      </c>
      <c r="G11" s="207">
        <v>290.77769999999998</v>
      </c>
      <c r="H11" s="247">
        <v>277.37351059507773</v>
      </c>
      <c r="I11" s="195">
        <f t="shared" si="1"/>
        <v>-4.6097721403402847E-2</v>
      </c>
      <c r="J11" s="16"/>
      <c r="K11" s="35"/>
      <c r="L11" s="35"/>
      <c r="N11" s="275" t="s">
        <v>11</v>
      </c>
      <c r="O11" s="54">
        <f>D23</f>
        <v>34.649810000000002</v>
      </c>
      <c r="P11" s="54">
        <f>E23</f>
        <v>32.426267870118032</v>
      </c>
      <c r="Q11" s="54">
        <f>G23</f>
        <v>103.788927</v>
      </c>
      <c r="R11" s="54">
        <f>H23</f>
        <v>96.896337870118032</v>
      </c>
    </row>
    <row r="12" spans="3:19" ht="20.100000000000001" customHeight="1">
      <c r="C12" s="96" t="s">
        <v>21</v>
      </c>
      <c r="D12" s="295">
        <v>0.76108000000000009</v>
      </c>
      <c r="E12" s="270">
        <v>0.99010100000000012</v>
      </c>
      <c r="F12" s="195">
        <f t="shared" si="0"/>
        <v>0.30091580385767602</v>
      </c>
      <c r="G12" s="294">
        <v>2.8713699999999998</v>
      </c>
      <c r="H12" s="270">
        <v>2.9703029999999999</v>
      </c>
      <c r="I12" s="195">
        <f t="shared" si="1"/>
        <v>3.4454981420019015E-2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141.88574599999998</v>
      </c>
      <c r="E13" s="247">
        <v>137.87959225324013</v>
      </c>
      <c r="F13" s="195">
        <f t="shared" si="0"/>
        <v>-2.8235068424419807E-2</v>
      </c>
      <c r="G13" s="207">
        <v>424.66080600000004</v>
      </c>
      <c r="H13" s="247">
        <v>394.05679098074023</v>
      </c>
      <c r="I13" s="195">
        <f t="shared" si="1"/>
        <v>-7.2066964002465039E-2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292.10137199999997</v>
      </c>
      <c r="E14" s="247">
        <v>267.6661599703848</v>
      </c>
      <c r="F14" s="195">
        <f t="shared" si="0"/>
        <v>-8.3653191569449947E-2</v>
      </c>
      <c r="G14" s="207">
        <v>640.54274999999996</v>
      </c>
      <c r="H14" s="247">
        <v>714.1644040678849</v>
      </c>
      <c r="I14" s="195">
        <f t="shared" si="1"/>
        <v>0.1149363630575555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195.73112</v>
      </c>
      <c r="E15" s="247">
        <v>205.92549144250006</v>
      </c>
      <c r="F15" s="195">
        <f t="shared" si="0"/>
        <v>5.2083549322663014E-2</v>
      </c>
      <c r="G15" s="207">
        <v>577.03632700000003</v>
      </c>
      <c r="H15" s="247">
        <v>581.68151116500007</v>
      </c>
      <c r="I15" s="195">
        <f t="shared" si="1"/>
        <v>8.0500723223964066E-3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906.9696909999999</v>
      </c>
      <c r="E16" s="247">
        <v>678.11229147388656</v>
      </c>
      <c r="F16" s="195">
        <f t="shared" si="0"/>
        <v>-0.25233191560545032</v>
      </c>
      <c r="G16" s="207">
        <v>2673.243097</v>
      </c>
      <c r="H16" s="247">
        <v>2477.0225160613863</v>
      </c>
      <c r="I16" s="195">
        <f t="shared" si="1"/>
        <v>-7.3401697420941159E-2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315.56234600000005</v>
      </c>
      <c r="E17" s="247">
        <v>357.48824327469998</v>
      </c>
      <c r="F17" s="195">
        <f t="shared" si="0"/>
        <v>0.13286089993354255</v>
      </c>
      <c r="G17" s="207">
        <v>900.37807200000009</v>
      </c>
      <c r="H17" s="247">
        <v>873.87799626660001</v>
      </c>
      <c r="I17" s="195">
        <f t="shared" si="1"/>
        <v>-2.9432164728907417E-2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150.484523</v>
      </c>
      <c r="E18" s="247">
        <v>109.02571832923081</v>
      </c>
      <c r="F18" s="195">
        <f t="shared" si="0"/>
        <v>-0.27550211705671013</v>
      </c>
      <c r="G18" s="207">
        <v>427.90375499999993</v>
      </c>
      <c r="H18" s="247">
        <v>366.20404911923083</v>
      </c>
      <c r="I18" s="195">
        <f t="shared" si="1"/>
        <v>-0.14419061566956592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358.57333699999992</v>
      </c>
      <c r="E19" s="247">
        <v>384.32428562249981</v>
      </c>
      <c r="F19" s="195">
        <f t="shared" si="0"/>
        <v>7.1815012342927975E-2</v>
      </c>
      <c r="G19" s="207">
        <v>952.24923999999987</v>
      </c>
      <c r="H19" s="247">
        <v>1021.8031501699998</v>
      </c>
      <c r="I19" s="195">
        <f t="shared" si="1"/>
        <v>7.3041707200522277E-2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47.966294999999995</v>
      </c>
      <c r="E20" s="247">
        <v>73.427544839000007</v>
      </c>
      <c r="F20" s="195">
        <f t="shared" si="0"/>
        <v>0.53081543694379585</v>
      </c>
      <c r="G20" s="207">
        <v>161.33151699999999</v>
      </c>
      <c r="H20" s="247">
        <v>183.48853858700002</v>
      </c>
      <c r="I20" s="195">
        <f t="shared" si="1"/>
        <v>0.13733845685589152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5.4646419999999996</v>
      </c>
      <c r="E21" s="247">
        <v>7.3407127875000002</v>
      </c>
      <c r="F21" s="195">
        <f t="shared" si="0"/>
        <v>0.34331083124933004</v>
      </c>
      <c r="G21" s="207">
        <v>16.855408999999998</v>
      </c>
      <c r="H21" s="247">
        <v>22.8294031225</v>
      </c>
      <c r="I21" s="195">
        <f t="shared" si="1"/>
        <v>0.354425936653332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1783.3928539999997</v>
      </c>
      <c r="E22" s="247">
        <v>2514.4150528199966</v>
      </c>
      <c r="F22" s="195">
        <f t="shared" si="0"/>
        <v>0.40990530896228261</v>
      </c>
      <c r="G22" s="207">
        <v>5486.8918430000003</v>
      </c>
      <c r="H22" s="247">
        <v>6579.0066430427041</v>
      </c>
      <c r="I22" s="195">
        <f t="shared" si="1"/>
        <v>0.19904070123707451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34.649810000000002</v>
      </c>
      <c r="E23" s="247">
        <v>32.426267870118032</v>
      </c>
      <c r="F23" s="195">
        <f t="shared" si="0"/>
        <v>-6.4171841920113604E-2</v>
      </c>
      <c r="G23" s="207">
        <v>103.788927</v>
      </c>
      <c r="H23" s="247">
        <v>96.896337870118032</v>
      </c>
      <c r="I23" s="195">
        <f t="shared" si="1"/>
        <v>-6.6409677112106325E-2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324">
        <v>0.13277200000000003</v>
      </c>
      <c r="E24" s="316">
        <v>0.1195739125</v>
      </c>
      <c r="F24" s="195">
        <f t="shared" si="0"/>
        <v>-9.9404147711867119E-2</v>
      </c>
      <c r="G24" s="294">
        <v>0.33674300000000007</v>
      </c>
      <c r="H24" s="270">
        <v>0.46147419000000001</v>
      </c>
      <c r="I24" s="323">
        <f t="shared" si="1"/>
        <v>0.37040470032042205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57.884960999999997</v>
      </c>
      <c r="E25" s="247">
        <v>50.317371612441882</v>
      </c>
      <c r="F25" s="195">
        <f t="shared" si="0"/>
        <v>-0.13073498291824215</v>
      </c>
      <c r="G25" s="207">
        <v>177.51112000000001</v>
      </c>
      <c r="H25" s="247">
        <v>160.32534011244186</v>
      </c>
      <c r="I25" s="195">
        <f t="shared" si="1"/>
        <v>-9.6815229871560438E-2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100.04090599999999</v>
      </c>
      <c r="E26" s="247">
        <v>100.69619403500005</v>
      </c>
      <c r="F26" s="195">
        <f t="shared" si="0"/>
        <v>6.5502009248101789E-3</v>
      </c>
      <c r="G26" s="207">
        <v>281.25218799999999</v>
      </c>
      <c r="H26" s="247">
        <v>270.76765906750001</v>
      </c>
      <c r="I26" s="195">
        <f t="shared" si="1"/>
        <v>-3.7278035086788286E-2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107.10146900000001</v>
      </c>
      <c r="E27" s="247">
        <v>118.22049880499999</v>
      </c>
      <c r="F27" s="195">
        <f t="shared" si="0"/>
        <v>0.10381771518932181</v>
      </c>
      <c r="G27" s="207">
        <v>330.79425900000001</v>
      </c>
      <c r="H27" s="247">
        <v>362.84899254750002</v>
      </c>
      <c r="I27" s="195">
        <f t="shared" si="1"/>
        <v>9.6902327278600042E-2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125.769694</v>
      </c>
      <c r="E28" s="247">
        <v>128.3859337800001</v>
      </c>
      <c r="F28" s="323">
        <f t="shared" si="0"/>
        <v>2.0801829890753298E-2</v>
      </c>
      <c r="G28" s="207">
        <v>367.64246000000003</v>
      </c>
      <c r="H28" s="247">
        <v>351.67053011750011</v>
      </c>
      <c r="I28" s="195">
        <f t="shared" si="1"/>
        <v>-4.3444192715117569E-2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6.0026549999999999</v>
      </c>
      <c r="E29" s="247">
        <v>3.8363134114141233</v>
      </c>
      <c r="F29" s="195">
        <f t="shared" si="0"/>
        <v>-0.3608972344047553</v>
      </c>
      <c r="G29" s="207">
        <v>13.071601999999999</v>
      </c>
      <c r="H29" s="247">
        <v>10.686817411414122</v>
      </c>
      <c r="I29" s="195">
        <f t="shared" si="1"/>
        <v>-0.18244011626010925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14.130409</v>
      </c>
      <c r="E30" s="247">
        <v>10.252699480781652</v>
      </c>
      <c r="F30" s="195">
        <f t="shared" si="0"/>
        <v>-0.27442302053807133</v>
      </c>
      <c r="G30" s="207">
        <v>41.59360800000001</v>
      </c>
      <c r="H30" s="247">
        <v>27.086639080781648</v>
      </c>
      <c r="I30" s="195">
        <f t="shared" si="1"/>
        <v>-0.34877880560922625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3.301644</v>
      </c>
      <c r="H31" s="247">
        <v>3.301644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11.855329999999999</v>
      </c>
      <c r="E32" s="248">
        <v>23.783996289999997</v>
      </c>
      <c r="F32" s="196">
        <f t="shared" si="0"/>
        <v>1.0061859340904049</v>
      </c>
      <c r="G32" s="208">
        <v>22.873562</v>
      </c>
      <c r="H32" s="248">
        <v>46.542359482500004</v>
      </c>
      <c r="I32" s="196">
        <f t="shared" si="1"/>
        <v>1.0347665782224911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5052.5398080000004</v>
      </c>
      <c r="E33" s="249">
        <f>SUM(E8:E32)</f>
        <v>5458.0291998024968</v>
      </c>
      <c r="F33" s="94">
        <f>+E33/D33-1</f>
        <v>8.0254566457934606E-2</v>
      </c>
      <c r="G33" s="209">
        <f>SUM(G8:G32)</f>
        <v>14688.110071999999</v>
      </c>
      <c r="H33" s="249">
        <f>SUM(H8:H32)</f>
        <v>15501.718869392706</v>
      </c>
      <c r="I33" s="210">
        <f>+H33/G33-1</f>
        <v>5.5392340703089626E-2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2514.4150528199966</v>
      </c>
      <c r="S44" s="36"/>
    </row>
    <row r="45" spans="3:19">
      <c r="C45" s="15"/>
      <c r="N45" s="39" t="s">
        <v>24</v>
      </c>
      <c r="O45" s="40">
        <v>678.11229147388656</v>
      </c>
      <c r="S45" s="36"/>
    </row>
    <row r="46" spans="3:19">
      <c r="C46" s="15"/>
      <c r="N46" s="39" t="s">
        <v>27</v>
      </c>
      <c r="O46" s="40">
        <v>384.32428562249981</v>
      </c>
      <c r="S46" s="36"/>
    </row>
    <row r="47" spans="3:19">
      <c r="N47" s="39" t="s">
        <v>25</v>
      </c>
      <c r="O47" s="40">
        <v>357.48824327469998</v>
      </c>
      <c r="S47" s="36"/>
    </row>
    <row r="48" spans="3:19">
      <c r="N48" s="39" t="s">
        <v>59</v>
      </c>
      <c r="O48" s="40">
        <v>267.6661599703848</v>
      </c>
      <c r="S48" s="36"/>
    </row>
    <row r="49" spans="14:19">
      <c r="N49" s="39" t="s">
        <v>23</v>
      </c>
      <c r="O49" s="40">
        <v>205.92549144250006</v>
      </c>
      <c r="S49" s="36"/>
    </row>
    <row r="50" spans="14:19">
      <c r="N50" s="39" t="s">
        <v>18</v>
      </c>
      <c r="O50" s="40">
        <v>156.24033435889339</v>
      </c>
      <c r="S50" s="36"/>
    </row>
    <row r="51" spans="14:19">
      <c r="N51" s="39" t="s">
        <v>22</v>
      </c>
      <c r="O51" s="40">
        <v>137.87959225324013</v>
      </c>
      <c r="S51" s="36"/>
    </row>
    <row r="52" spans="14:19">
      <c r="N52" s="39" t="s">
        <v>36</v>
      </c>
      <c r="O52" s="40">
        <v>128.3859337800001</v>
      </c>
      <c r="S52" s="36"/>
    </row>
    <row r="53" spans="14:19">
      <c r="N53" s="39" t="s">
        <v>35</v>
      </c>
      <c r="O53" s="40">
        <v>118.22049880499999</v>
      </c>
      <c r="S53" s="36"/>
    </row>
    <row r="54" spans="14:19">
      <c r="N54" s="39" t="s">
        <v>26</v>
      </c>
      <c r="O54" s="40">
        <v>109.02571832923081</v>
      </c>
      <c r="S54" s="99"/>
    </row>
    <row r="55" spans="14:19">
      <c r="N55" s="39" t="s">
        <v>34</v>
      </c>
      <c r="O55" s="40">
        <v>100.69619403500005</v>
      </c>
      <c r="S55" s="36"/>
    </row>
    <row r="56" spans="14:19">
      <c r="N56" s="39" t="s">
        <v>20</v>
      </c>
      <c r="O56" s="40">
        <v>88.970331691577655</v>
      </c>
      <c r="S56" s="36"/>
    </row>
    <row r="57" spans="14:19">
      <c r="N57" s="39" t="s">
        <v>28</v>
      </c>
      <c r="O57" s="40">
        <v>73.427544839000007</v>
      </c>
      <c r="S57" s="36"/>
    </row>
    <row r="58" spans="14:19">
      <c r="N58" s="39" t="s">
        <v>33</v>
      </c>
      <c r="O58" s="40">
        <v>50.317371612441882</v>
      </c>
      <c r="S58" s="36"/>
    </row>
    <row r="59" spans="14:19">
      <c r="N59" s="39" t="s">
        <v>31</v>
      </c>
      <c r="O59" s="40">
        <v>32.426267870118032</v>
      </c>
      <c r="S59" s="36"/>
    </row>
    <row r="60" spans="14:19">
      <c r="N60" s="39" t="s">
        <v>40</v>
      </c>
      <c r="O60" s="40">
        <v>23.783996289999997</v>
      </c>
      <c r="S60" s="36"/>
    </row>
    <row r="61" spans="14:19">
      <c r="N61" s="39" t="s">
        <v>38</v>
      </c>
      <c r="O61" s="40">
        <v>10.252699480781652</v>
      </c>
      <c r="S61" s="36"/>
    </row>
    <row r="62" spans="14:19">
      <c r="N62" s="39" t="s">
        <v>29</v>
      </c>
      <c r="O62" s="40">
        <v>7.3407127875000002</v>
      </c>
      <c r="S62" s="36"/>
    </row>
    <row r="63" spans="14:19">
      <c r="N63" s="39" t="s">
        <v>19</v>
      </c>
      <c r="O63" s="40">
        <v>4.0814417418316964</v>
      </c>
      <c r="S63" s="36"/>
    </row>
    <row r="64" spans="14:19">
      <c r="N64" s="39" t="s">
        <v>37</v>
      </c>
      <c r="O64" s="40">
        <v>3.8363134114141233</v>
      </c>
      <c r="S64" s="36"/>
    </row>
    <row r="65" spans="6:19">
      <c r="N65" s="39" t="s">
        <v>17</v>
      </c>
      <c r="O65" s="40">
        <v>3.0025009999999996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0.99010100000000012</v>
      </c>
      <c r="S67" s="36"/>
    </row>
    <row r="68" spans="6:19">
      <c r="N68" t="s">
        <v>32</v>
      </c>
      <c r="O68" s="40">
        <v>0.1195739125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R44:S68">
    <sortCondition descending="1" ref="S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2023-05-08T15:51:47Z</dcterms:modified>
</cp:coreProperties>
</file>